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Aurora\"/>
    </mc:Choice>
  </mc:AlternateContent>
  <bookViews>
    <workbookView xWindow="240" yWindow="60" windowWidth="19980" windowHeight="7812"/>
  </bookViews>
  <sheets>
    <sheet name="First 310S" sheetId="1" r:id="rId1"/>
    <sheet name="Oceanis 300" sheetId="2" r:id="rId2"/>
    <sheet name="Blad2" sheetId="3" r:id="rId3"/>
    <sheet name="Blad1" sheetId="4" r:id="rId4"/>
  </sheets>
  <definedNames>
    <definedName name="Dyform" localSheetId="1">'Oceanis 300'!$Z$4:$AD$8</definedName>
    <definedName name="Dyform">'First 310S'!$Z$4:$AD$8</definedName>
    <definedName name="iDyform" localSheetId="1">'Oceanis 300'!$Z$4:$Z$8</definedName>
    <definedName name="iDyform">'First 310S'!$Z$4:$Z$8</definedName>
    <definedName name="iRod" localSheetId="1">'Oceanis 300'!$Z$14:$Z$20</definedName>
    <definedName name="iRod">'First 310S'!$Z$14:$Z$20</definedName>
    <definedName name="iSS1x19" localSheetId="1">'Oceanis 300'!$Z$9:$Z$13</definedName>
    <definedName name="iSS1x19">'First 310S'!$Z$9:$Z$13</definedName>
    <definedName name="ong" localSheetId="1">'Oceanis 300'!$AE$4</definedName>
    <definedName name="ong">'First 310S'!$AE$4</definedName>
    <definedName name="opbouw" localSheetId="1">'Oceanis 300'!$C$18</definedName>
    <definedName name="opbouw">'First 310S'!$C$18</definedName>
    <definedName name="Rod" localSheetId="1">'Oceanis 300'!$Z$14:$AD$20</definedName>
    <definedName name="Rod">'First 310S'!$Z$14:$AD$20</definedName>
    <definedName name="solver_adj" localSheetId="0" hidden="1">'First 310S'!$H$36:$H$39</definedName>
    <definedName name="solver_adj" localSheetId="1" hidden="1">'Oceanis 300'!$H$36:$H$39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'First 310S'!$C$36</definedName>
    <definedName name="solver_lhs1" localSheetId="1" hidden="1">'Oceanis 300'!$C$36</definedName>
    <definedName name="solver_lhs10" localSheetId="0" hidden="1">'First 310S'!$H$38</definedName>
    <definedName name="solver_lhs10" localSheetId="1" hidden="1">'Oceanis 300'!$H$38</definedName>
    <definedName name="solver_lhs11" localSheetId="0" hidden="1">'First 310S'!$H$39</definedName>
    <definedName name="solver_lhs11" localSheetId="1" hidden="1">'Oceanis 300'!$H$39</definedName>
    <definedName name="solver_lhs12" localSheetId="0" hidden="1">'First 310S'!$H$39</definedName>
    <definedName name="solver_lhs12" localSheetId="1" hidden="1">'Oceanis 300'!$H$39</definedName>
    <definedName name="solver_lhs2" localSheetId="0" hidden="1">'First 310S'!$C$36</definedName>
    <definedName name="solver_lhs2" localSheetId="1" hidden="1">'Oceanis 300'!$C$36</definedName>
    <definedName name="solver_lhs3" localSheetId="0" hidden="1">'First 310S'!$C$39</definedName>
    <definedName name="solver_lhs3" localSheetId="1" hidden="1">'Oceanis 300'!$C$39</definedName>
    <definedName name="solver_lhs4" localSheetId="0" hidden="1">'First 310S'!$C$39</definedName>
    <definedName name="solver_lhs4" localSheetId="1" hidden="1">'Oceanis 300'!$C$39</definedName>
    <definedName name="solver_lhs5" localSheetId="0" hidden="1">'First 310S'!$H$36</definedName>
    <definedName name="solver_lhs5" localSheetId="1" hidden="1">'Oceanis 300'!$H$36</definedName>
    <definedName name="solver_lhs6" localSheetId="0" hidden="1">'First 310S'!$H$36</definedName>
    <definedName name="solver_lhs6" localSheetId="1" hidden="1">'Oceanis 300'!$H$36</definedName>
    <definedName name="solver_lhs7" localSheetId="0" hidden="1">'First 310S'!$H$37</definedName>
    <definedName name="solver_lhs7" localSheetId="1" hidden="1">'Oceanis 300'!$H$37</definedName>
    <definedName name="solver_lhs8" localSheetId="0" hidden="1">'First 310S'!$H$37</definedName>
    <definedName name="solver_lhs8" localSheetId="1" hidden="1">'Oceanis 300'!$H$37</definedName>
    <definedName name="solver_lhs9" localSheetId="0" hidden="1">'First 310S'!$H$38</definedName>
    <definedName name="solver_lhs9" localSheetId="1" hidden="1">'Oceanis 300'!$H$38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12</definedName>
    <definedName name="solver_num" localSheetId="1" hidden="1">12</definedName>
    <definedName name="solver_nwt" localSheetId="0" hidden="1">1</definedName>
    <definedName name="solver_nwt" localSheetId="1" hidden="1">1</definedName>
    <definedName name="solver_opt" localSheetId="0" hidden="1">'First 310S'!$J$105</definedName>
    <definedName name="solver_opt" localSheetId="1" hidden="1">'Oceanis 300'!$J$105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0" hidden="1">1</definedName>
    <definedName name="solver_rel1" localSheetId="1" hidden="1">1</definedName>
    <definedName name="solver_rel10" localSheetId="0" hidden="1">3</definedName>
    <definedName name="solver_rel10" localSheetId="1" hidden="1">3</definedName>
    <definedName name="solver_rel11" localSheetId="0" hidden="1">1</definedName>
    <definedName name="solver_rel11" localSheetId="1" hidden="1">1</definedName>
    <definedName name="solver_rel12" localSheetId="0" hidden="1">3</definedName>
    <definedName name="solver_rel12" localSheetId="1" hidden="1">3</definedName>
    <definedName name="solver_rel2" localSheetId="0" hidden="1">3</definedName>
    <definedName name="solver_rel2" localSheetId="1" hidden="1">3</definedName>
    <definedName name="solver_rel3" localSheetId="0" hidden="1">1</definedName>
    <definedName name="solver_rel3" localSheetId="1" hidden="1">1</definedName>
    <definedName name="solver_rel4" localSheetId="0" hidden="1">3</definedName>
    <definedName name="solver_rel4" localSheetId="1" hidden="1">3</definedName>
    <definedName name="solver_rel5" localSheetId="0" hidden="1">1</definedName>
    <definedName name="solver_rel5" localSheetId="1" hidden="1">1</definedName>
    <definedName name="solver_rel6" localSheetId="0" hidden="1">3</definedName>
    <definedName name="solver_rel6" localSheetId="1" hidden="1">3</definedName>
    <definedName name="solver_rel7" localSheetId="0" hidden="1">1</definedName>
    <definedName name="solver_rel7" localSheetId="1" hidden="1">1</definedName>
    <definedName name="solver_rel8" localSheetId="0" hidden="1">3</definedName>
    <definedName name="solver_rel8" localSheetId="1" hidden="1">3</definedName>
    <definedName name="solver_rel9" localSheetId="0" hidden="1">1</definedName>
    <definedName name="solver_rel9" localSheetId="1" hidden="1">1</definedName>
    <definedName name="solver_rhs1" localSheetId="0" hidden="1">0.7</definedName>
    <definedName name="solver_rhs1" localSheetId="1" hidden="1">0.7</definedName>
    <definedName name="solver_rhs10" localSheetId="0" hidden="1">0.5</definedName>
    <definedName name="solver_rhs10" localSheetId="1" hidden="1">0.5</definedName>
    <definedName name="solver_rhs11" localSheetId="0" hidden="1">1</definedName>
    <definedName name="solver_rhs11" localSheetId="1" hidden="1">1</definedName>
    <definedName name="solver_rhs12" localSheetId="0" hidden="1">0.8</definedName>
    <definedName name="solver_rhs12" localSheetId="1" hidden="1">0.8</definedName>
    <definedName name="solver_rhs2" localSheetId="0" hidden="1">0.4</definedName>
    <definedName name="solver_rhs2" localSheetId="1" hidden="1">0.4</definedName>
    <definedName name="solver_rhs3" localSheetId="0" hidden="1">1</definedName>
    <definedName name="solver_rhs3" localSheetId="1" hidden="1">1</definedName>
    <definedName name="solver_rhs4" localSheetId="0" hidden="1">0.7</definedName>
    <definedName name="solver_rhs4" localSheetId="1" hidden="1">0.7</definedName>
    <definedName name="solver_rhs5" localSheetId="0" hidden="1">0.9</definedName>
    <definedName name="solver_rhs5" localSheetId="1" hidden="1">0.9</definedName>
    <definedName name="solver_rhs6" localSheetId="0" hidden="1">0.6</definedName>
    <definedName name="solver_rhs6" localSheetId="1" hidden="1">0.6</definedName>
    <definedName name="solver_rhs7" localSheetId="0" hidden="1">0.4</definedName>
    <definedName name="solver_rhs7" localSheetId="1" hidden="1">0.4</definedName>
    <definedName name="solver_rhs8" localSheetId="0" hidden="1">0.25</definedName>
    <definedName name="solver_rhs8" localSheetId="1" hidden="1">0.25</definedName>
    <definedName name="solver_rhs9" localSheetId="0" hidden="1">0.8</definedName>
    <definedName name="solver_rhs9" localSheetId="1" hidden="1">0.8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SS1x19" localSheetId="1">'Oceanis 300'!$Z$9:$AD$13</definedName>
    <definedName name="SS1x19">'First 310S'!$Z$9:$AD$13</definedName>
  </definedNames>
  <calcPr calcId="152511"/>
</workbook>
</file>

<file path=xl/calcChain.xml><?xml version="1.0" encoding="utf-8"?>
<calcChain xmlns="http://schemas.openxmlformats.org/spreadsheetml/2006/main">
  <c r="I21" i="1" l="1"/>
  <c r="F23" i="1"/>
  <c r="F24" i="1" s="1"/>
  <c r="F25" i="1" s="1"/>
  <c r="F26" i="1" s="1"/>
  <c r="F22" i="1"/>
  <c r="J18" i="3" l="1"/>
  <c r="K18" i="3" s="1"/>
  <c r="J12" i="3"/>
  <c r="F14" i="3"/>
  <c r="J17" i="3" s="1"/>
  <c r="F13" i="3"/>
  <c r="F16" i="3"/>
  <c r="K17" i="3" l="1"/>
  <c r="L17" i="3"/>
  <c r="L18" i="3"/>
  <c r="J15" i="3"/>
  <c r="K15" i="3" s="1"/>
  <c r="J16" i="3"/>
  <c r="K16" i="3" s="1"/>
  <c r="L16" i="3"/>
  <c r="J13" i="3"/>
  <c r="J14" i="3"/>
  <c r="L6" i="3"/>
  <c r="L8" i="3" s="1"/>
  <c r="L5" i="3"/>
  <c r="K14" i="3" l="1"/>
  <c r="L14" i="3"/>
  <c r="K13" i="3"/>
  <c r="L13" i="3"/>
  <c r="L15" i="3"/>
  <c r="H5" i="3"/>
  <c r="H8" i="3"/>
  <c r="H9" i="3"/>
  <c r="H4" i="3"/>
  <c r="G5" i="3"/>
  <c r="G6" i="3"/>
  <c r="H6" i="3" s="1"/>
  <c r="G7" i="3"/>
  <c r="H7" i="3" s="1"/>
  <c r="G8" i="3"/>
  <c r="G9" i="3"/>
  <c r="G4" i="3"/>
  <c r="G3" i="3"/>
  <c r="H3" i="3" s="1"/>
  <c r="F3" i="3"/>
  <c r="H44" i="2"/>
  <c r="H43" i="2"/>
  <c r="H42" i="2"/>
  <c r="H41" i="2"/>
  <c r="H53" i="2" s="1"/>
  <c r="H158" i="2" s="1"/>
  <c r="C41" i="2"/>
  <c r="H40" i="2"/>
  <c r="C40" i="2"/>
  <c r="C38" i="2"/>
  <c r="C46" i="2" s="1"/>
  <c r="C148" i="2" s="1"/>
  <c r="C37" i="2"/>
  <c r="C44" i="2" s="1"/>
  <c r="C28" i="2"/>
  <c r="C149" i="2" s="1"/>
  <c r="H161" i="2" s="1"/>
  <c r="C21" i="2"/>
  <c r="AC20" i="2"/>
  <c r="C20" i="2"/>
  <c r="AC19" i="2"/>
  <c r="AC18" i="2"/>
  <c r="H18" i="2"/>
  <c r="AC17" i="2"/>
  <c r="AC16" i="2"/>
  <c r="H16" i="2"/>
  <c r="AC15" i="2"/>
  <c r="H15" i="2"/>
  <c r="C15" i="2"/>
  <c r="AC14" i="2"/>
  <c r="H12" i="2"/>
  <c r="H9" i="2"/>
  <c r="H8" i="2"/>
  <c r="H7" i="2"/>
  <c r="H13" i="2" s="1"/>
  <c r="C42" i="2" l="1"/>
  <c r="C45" i="2"/>
  <c r="H10" i="2"/>
  <c r="C32" i="2"/>
  <c r="C150" i="2" s="1"/>
  <c r="H162" i="2" s="1"/>
  <c r="C43" i="2"/>
  <c r="C147" i="2"/>
  <c r="H19" i="2"/>
  <c r="H49" i="2"/>
  <c r="H50" i="2"/>
  <c r="H47" i="2"/>
  <c r="AE4" i="2"/>
  <c r="H11" i="2"/>
  <c r="C81" i="2"/>
  <c r="H48" i="2"/>
  <c r="H45" i="2"/>
  <c r="H55" i="2"/>
  <c r="H160" i="2" s="1"/>
  <c r="H54" i="2"/>
  <c r="H159" i="2" s="1"/>
  <c r="H51" i="2"/>
  <c r="H157" i="2" s="1"/>
  <c r="H46" i="2"/>
  <c r="H52" i="2"/>
  <c r="H77" i="2" l="1"/>
  <c r="H75" i="2"/>
  <c r="C82" i="2"/>
  <c r="C121" i="2"/>
  <c r="C115" i="2"/>
  <c r="H113" i="2"/>
  <c r="H119" i="2"/>
  <c r="H114" i="2"/>
  <c r="H6" i="2"/>
  <c r="C116" i="2"/>
  <c r="C113" i="2"/>
  <c r="H61" i="2"/>
  <c r="C26" i="2"/>
  <c r="C27" i="2" s="1"/>
  <c r="C128" i="2" s="1"/>
  <c r="C75" i="2"/>
  <c r="C61" i="2"/>
  <c r="C20" i="1"/>
  <c r="C21" i="1"/>
  <c r="C30" i="2" l="1"/>
  <c r="C31" i="2" s="1"/>
  <c r="C129" i="2" s="1"/>
  <c r="H68" i="2"/>
  <c r="H69" i="2" s="1"/>
  <c r="H67" i="2"/>
  <c r="H62" i="2"/>
  <c r="H131" i="2"/>
  <c r="C66" i="2"/>
  <c r="C67" i="2" s="1"/>
  <c r="C62" i="2"/>
  <c r="C65" i="2"/>
  <c r="H117" i="2"/>
  <c r="C114" i="2"/>
  <c r="C122" i="2"/>
  <c r="C79" i="2"/>
  <c r="C77" i="2"/>
  <c r="C78" i="2" s="1"/>
  <c r="C76" i="2"/>
  <c r="C119" i="2"/>
  <c r="H120" i="2"/>
  <c r="C83" i="2"/>
  <c r="C85" i="2"/>
  <c r="H130" i="2"/>
  <c r="H76" i="2"/>
  <c r="H82" i="2" s="1"/>
  <c r="H83" i="2" s="1"/>
  <c r="AC19" i="1"/>
  <c r="AC18" i="1"/>
  <c r="AC17" i="1"/>
  <c r="AC16" i="1"/>
  <c r="AC15" i="1"/>
  <c r="AC14" i="1"/>
  <c r="AC20" i="1"/>
  <c r="C137" i="2"/>
  <c r="C145" i="2"/>
  <c r="C133" i="2"/>
  <c r="C141" i="2"/>
  <c r="C138" i="2"/>
  <c r="C142" i="2"/>
  <c r="C134" i="2"/>
  <c r="C146" i="2"/>
  <c r="H70" i="2" l="1"/>
  <c r="H71" i="2" s="1"/>
  <c r="C86" i="2"/>
  <c r="C91" i="2"/>
  <c r="C97" i="2" s="1"/>
  <c r="C92" i="2"/>
  <c r="C98" i="2" s="1"/>
  <c r="C84" i="2"/>
  <c r="H78" i="2"/>
  <c r="C87" i="2"/>
  <c r="C88" i="2" s="1"/>
  <c r="H84" i="2"/>
  <c r="C80" i="2"/>
  <c r="C81" i="1"/>
  <c r="C40" i="1"/>
  <c r="C38" i="1"/>
  <c r="C37" i="1"/>
  <c r="H44" i="1"/>
  <c r="H43" i="1"/>
  <c r="H42" i="1"/>
  <c r="H48" i="1" s="1"/>
  <c r="H41" i="1"/>
  <c r="H40" i="1"/>
  <c r="C28" i="1"/>
  <c r="C149" i="1" s="1"/>
  <c r="H161" i="1" s="1"/>
  <c r="H18" i="1"/>
  <c r="H16" i="1"/>
  <c r="H15" i="1"/>
  <c r="C15" i="1"/>
  <c r="H12" i="1"/>
  <c r="H11" i="1"/>
  <c r="H9" i="1"/>
  <c r="H8" i="1"/>
  <c r="H7" i="1"/>
  <c r="C32" i="1" s="1"/>
  <c r="C150" i="1" s="1"/>
  <c r="H162" i="1" s="1"/>
  <c r="H143" i="2"/>
  <c r="H150" i="2"/>
  <c r="H137" i="2"/>
  <c r="H144" i="2"/>
  <c r="H156" i="2"/>
  <c r="H149" i="2"/>
  <c r="H138" i="2"/>
  <c r="H155" i="2"/>
  <c r="C100" i="2" l="1"/>
  <c r="C102" i="2" s="1"/>
  <c r="C126" i="2" s="1"/>
  <c r="H89" i="2"/>
  <c r="H98" i="2" s="1"/>
  <c r="H79" i="2"/>
  <c r="H88" i="2"/>
  <c r="H97" i="2" s="1"/>
  <c r="H80" i="2"/>
  <c r="H85" i="2"/>
  <c r="H86" i="2"/>
  <c r="C89" i="2"/>
  <c r="C44" i="1"/>
  <c r="C45" i="1"/>
  <c r="H51" i="1"/>
  <c r="H46" i="1"/>
  <c r="H55" i="1"/>
  <c r="H160" i="1" s="1"/>
  <c r="H77" i="1"/>
  <c r="H49" i="1"/>
  <c r="C42" i="1"/>
  <c r="AE4" i="1"/>
  <c r="H119" i="1" s="1"/>
  <c r="H19" i="1"/>
  <c r="C26" i="1" s="1"/>
  <c r="H13" i="1"/>
  <c r="H50" i="1"/>
  <c r="H52" i="1"/>
  <c r="H54" i="1"/>
  <c r="H159" i="1" s="1"/>
  <c r="C46" i="1"/>
  <c r="C148" i="1" s="1"/>
  <c r="H10" i="1"/>
  <c r="H45" i="1"/>
  <c r="H75" i="1" s="1"/>
  <c r="C43" i="1"/>
  <c r="C82" i="1"/>
  <c r="H53" i="1"/>
  <c r="H158" i="1" s="1"/>
  <c r="H47" i="1"/>
  <c r="C41" i="1"/>
  <c r="H102" i="2" l="1"/>
  <c r="H106" i="2" s="1"/>
  <c r="H126" i="2" s="1"/>
  <c r="C93" i="2"/>
  <c r="C90" i="2"/>
  <c r="H87" i="2"/>
  <c r="H91" i="2"/>
  <c r="H100" i="2" s="1"/>
  <c r="H104" i="2" s="1"/>
  <c r="H108" i="2" s="1"/>
  <c r="H128" i="2" s="1"/>
  <c r="H81" i="2"/>
  <c r="H90" i="2"/>
  <c r="H99" i="2" s="1"/>
  <c r="H103" i="2" s="1"/>
  <c r="H107" i="2" s="1"/>
  <c r="H127" i="2" s="1"/>
  <c r="H157" i="1"/>
  <c r="C116" i="1"/>
  <c r="C147" i="1"/>
  <c r="C75" i="1"/>
  <c r="C76" i="1" s="1"/>
  <c r="H113" i="1"/>
  <c r="C27" i="1"/>
  <c r="C128" i="1" s="1"/>
  <c r="H130" i="1" s="1"/>
  <c r="C30" i="1"/>
  <c r="C31" i="1" s="1"/>
  <c r="C129" i="1" s="1"/>
  <c r="H131" i="1" s="1"/>
  <c r="H114" i="1"/>
  <c r="C121" i="1"/>
  <c r="C113" i="1"/>
  <c r="H120" i="1" s="1"/>
  <c r="C115" i="1"/>
  <c r="H6" i="1"/>
  <c r="H61" i="1"/>
  <c r="H67" i="1" s="1"/>
  <c r="C61" i="1"/>
  <c r="C65" i="1" s="1"/>
  <c r="H76" i="1"/>
  <c r="C79" i="1"/>
  <c r="C131" i="2"/>
  <c r="C139" i="2"/>
  <c r="C135" i="2"/>
  <c r="C141" i="1"/>
  <c r="H149" i="1"/>
  <c r="H145" i="2"/>
  <c r="C134" i="1"/>
  <c r="H151" i="2"/>
  <c r="C137" i="1"/>
  <c r="H156" i="1"/>
  <c r="C146" i="1"/>
  <c r="C143" i="2"/>
  <c r="H133" i="2"/>
  <c r="H143" i="1"/>
  <c r="H150" i="1"/>
  <c r="H92" i="2" l="1"/>
  <c r="C99" i="2"/>
  <c r="C101" i="2" s="1"/>
  <c r="C103" i="2" s="1"/>
  <c r="C127" i="2" s="1"/>
  <c r="C118" i="2"/>
  <c r="C77" i="1"/>
  <c r="C78" i="1" s="1"/>
  <c r="H117" i="1"/>
  <c r="C66" i="1"/>
  <c r="C67" i="1" s="1"/>
  <c r="C119" i="1"/>
  <c r="H68" i="1"/>
  <c r="H69" i="1" s="1"/>
  <c r="H62" i="1"/>
  <c r="C62" i="1"/>
  <c r="C122" i="1"/>
  <c r="C114" i="1"/>
  <c r="C87" i="1"/>
  <c r="C88" i="1" s="1"/>
  <c r="H84" i="1"/>
  <c r="C80" i="1"/>
  <c r="H144" i="1"/>
  <c r="H155" i="1"/>
  <c r="H153" i="2"/>
  <c r="H147" i="2"/>
  <c r="H139" i="2"/>
  <c r="H137" i="1"/>
  <c r="H135" i="2"/>
  <c r="H152" i="2"/>
  <c r="C142" i="1"/>
  <c r="C133" i="1"/>
  <c r="H138" i="1"/>
  <c r="H134" i="2"/>
  <c r="H140" i="2"/>
  <c r="C138" i="1"/>
  <c r="C145" i="1"/>
  <c r="H146" i="2"/>
  <c r="H141" i="2"/>
  <c r="H101" i="2" l="1"/>
  <c r="H105" i="2" s="1"/>
  <c r="H109" i="2" s="1"/>
  <c r="H129" i="2" s="1"/>
  <c r="H116" i="2"/>
  <c r="H115" i="2"/>
  <c r="H78" i="1"/>
  <c r="H80" i="1" s="1"/>
  <c r="H82" i="1" s="1"/>
  <c r="H83" i="1" s="1"/>
  <c r="C83" i="1"/>
  <c r="C91" i="1" s="1"/>
  <c r="C97" i="1" s="1"/>
  <c r="H70" i="1"/>
  <c r="H71" i="1" s="1"/>
  <c r="H79" i="1"/>
  <c r="H85" i="1"/>
  <c r="C132" i="2"/>
  <c r="C140" i="2"/>
  <c r="C136" i="2"/>
  <c r="C144" i="2"/>
  <c r="H89" i="1" l="1"/>
  <c r="H98" i="1" s="1"/>
  <c r="C152" i="2"/>
  <c r="C153" i="2"/>
  <c r="C151" i="2"/>
  <c r="H88" i="1"/>
  <c r="H97" i="1" s="1"/>
  <c r="H86" i="1"/>
  <c r="C85" i="1"/>
  <c r="C89" i="1" s="1"/>
  <c r="C84" i="1"/>
  <c r="C92" i="1"/>
  <c r="C98" i="1" s="1"/>
  <c r="C100" i="1" s="1"/>
  <c r="C102" i="1" s="1"/>
  <c r="C126" i="1" s="1"/>
  <c r="H90" i="1"/>
  <c r="H99" i="1" s="1"/>
  <c r="H103" i="1" s="1"/>
  <c r="H107" i="1" s="1"/>
  <c r="H127" i="1" s="1"/>
  <c r="H81" i="1"/>
  <c r="H102" i="1"/>
  <c r="H106" i="1" s="1"/>
  <c r="H126" i="1" s="1"/>
  <c r="H87" i="1"/>
  <c r="H148" i="2"/>
  <c r="H136" i="2"/>
  <c r="H142" i="2"/>
  <c r="H139" i="1"/>
  <c r="H145" i="1"/>
  <c r="C143" i="1"/>
  <c r="H146" i="1"/>
  <c r="H154" i="2"/>
  <c r="C131" i="1"/>
  <c r="C135" i="1"/>
  <c r="H151" i="1"/>
  <c r="C139" i="1"/>
  <c r="H140" i="1"/>
  <c r="H91" i="1" l="1"/>
  <c r="H100" i="1" s="1"/>
  <c r="H104" i="1" s="1"/>
  <c r="H108" i="1" s="1"/>
  <c r="H128" i="1" s="1"/>
  <c r="H164" i="2"/>
  <c r="H165" i="2"/>
  <c r="H163" i="2"/>
  <c r="C86" i="1"/>
  <c r="H92" i="1"/>
  <c r="H101" i="1" s="1"/>
  <c r="H105" i="1" s="1"/>
  <c r="H109" i="1" s="1"/>
  <c r="H129" i="1" s="1"/>
  <c r="C93" i="1"/>
  <c r="C90" i="1"/>
  <c r="H133" i="1"/>
  <c r="H152" i="1"/>
  <c r="H154" i="1"/>
  <c r="H134" i="1"/>
  <c r="H136" i="1"/>
  <c r="H142" i="1"/>
  <c r="H116" i="1" l="1"/>
  <c r="H115" i="1"/>
  <c r="C99" i="1"/>
  <c r="C101" i="1" s="1"/>
  <c r="C103" i="1" s="1"/>
  <c r="C127" i="1" s="1"/>
  <c r="C118" i="1"/>
  <c r="H141" i="1"/>
  <c r="C144" i="1"/>
  <c r="H153" i="1"/>
  <c r="C140" i="1"/>
  <c r="H148" i="1"/>
  <c r="H147" i="1"/>
  <c r="C136" i="1"/>
  <c r="H135" i="1"/>
  <c r="C132" i="1"/>
  <c r="H164" i="1" l="1"/>
  <c r="H165" i="1"/>
  <c r="H163" i="1"/>
  <c r="C153" i="1"/>
  <c r="C152" i="1"/>
  <c r="C151" i="1"/>
</calcChain>
</file>

<file path=xl/sharedStrings.xml><?xml version="1.0" encoding="utf-8"?>
<sst xmlns="http://schemas.openxmlformats.org/spreadsheetml/2006/main" count="1271" uniqueCount="281">
  <si>
    <t>Dimensionering tuigage op basis van methode uit "Principles of Yacht Design"</t>
  </si>
  <si>
    <t>Ontwerp parameters</t>
  </si>
  <si>
    <t>Tussenresultaten</t>
  </si>
  <si>
    <t>none</t>
  </si>
  <si>
    <t>Meetbrief</t>
  </si>
  <si>
    <t>Mast kenmerken</t>
  </si>
  <si>
    <t>single</t>
  </si>
  <si>
    <t>run &amp; cs</t>
  </si>
  <si>
    <t>Grootzeil voorlijk lengte</t>
  </si>
  <si>
    <t>P</t>
  </si>
  <si>
    <t>m</t>
  </si>
  <si>
    <t>Type tuig</t>
  </si>
  <si>
    <t>double</t>
  </si>
  <si>
    <t>fwd lwrs</t>
  </si>
  <si>
    <t>Voorstaghoogte boven referentie</t>
  </si>
  <si>
    <t>I</t>
  </si>
  <si>
    <t>Doorvaarthoogte</t>
  </si>
  <si>
    <t>Voordriehoek breedte mast-voorstag</t>
  </si>
  <si>
    <t>J</t>
  </si>
  <si>
    <t>Lengte aluminium mastprofiel</t>
  </si>
  <si>
    <t>Giek boven referentie</t>
  </si>
  <si>
    <t>BAS</t>
  </si>
  <si>
    <t>Voorstag boven waterlijn</t>
  </si>
  <si>
    <t>Referentievlak boven waterlijn</t>
  </si>
  <si>
    <t>FF</t>
  </si>
  <si>
    <t>Ongestaagd deel masttop</t>
  </si>
  <si>
    <t>Max breedte</t>
  </si>
  <si>
    <r>
      <t>B</t>
    </r>
    <r>
      <rPr>
        <vertAlign val="subscript"/>
        <sz val="11"/>
        <color theme="1"/>
        <rFont val="Calibri"/>
        <family val="2"/>
        <scheme val="minor"/>
      </rPr>
      <t>MAX</t>
    </r>
  </si>
  <si>
    <t>Zeilpunt dubbelgereefd boven waterlijn</t>
  </si>
  <si>
    <t>Waterverplaatsing actueel</t>
  </si>
  <si>
    <r>
      <t>M</t>
    </r>
    <r>
      <rPr>
        <vertAlign val="subscript"/>
        <sz val="11"/>
        <color theme="1"/>
        <rFont val="Calibri"/>
        <family val="2"/>
        <scheme val="minor"/>
      </rPr>
      <t>ACT</t>
    </r>
  </si>
  <si>
    <t>kg</t>
  </si>
  <si>
    <t>Hoek voorstag met mast</t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</si>
  <si>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VOORSTAG</t>
    </r>
  </si>
  <si>
    <t>gr</t>
  </si>
  <si>
    <t>Gewichten en momenten</t>
  </si>
  <si>
    <t>Hoek achterstag met mast</t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</si>
  <si>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ACHTERSTAG</t>
    </r>
  </si>
  <si>
    <t xml:space="preserve">Waterverplaatsing leeg </t>
  </si>
  <si>
    <r>
      <t>M</t>
    </r>
    <r>
      <rPr>
        <vertAlign val="subscript"/>
        <sz val="11"/>
        <color theme="1"/>
        <rFont val="Calibri"/>
        <family val="2"/>
        <scheme val="minor"/>
      </rPr>
      <t>LEEG</t>
    </r>
  </si>
  <si>
    <t>Giek</t>
  </si>
  <si>
    <t>Richtend moment bij 30 gr en lege boot</t>
  </si>
  <si>
    <t>RM30</t>
  </si>
  <si>
    <t>Nm</t>
  </si>
  <si>
    <t>Giek boven mastvoet</t>
  </si>
  <si>
    <t>Crew in gangboord</t>
  </si>
  <si>
    <t>Crew</t>
  </si>
  <si>
    <t>-</t>
  </si>
  <si>
    <t>Giek boven waterlijn</t>
  </si>
  <si>
    <t>Overige maten en grootzeil</t>
  </si>
  <si>
    <t>Hoogte opbouw (referentie tot mastvoet)</t>
  </si>
  <si>
    <t>Extra richtend moment crew in gangboord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</si>
  <si>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RM</t>
    </r>
  </si>
  <si>
    <t>Breedte verstaging (mast-putting)</t>
  </si>
  <si>
    <r>
      <t>B</t>
    </r>
    <r>
      <rPr>
        <vertAlign val="subscript"/>
        <sz val="11"/>
        <color theme="1"/>
        <rFont val="Calibri"/>
        <family val="2"/>
        <scheme val="minor"/>
      </rPr>
      <t>RIG</t>
    </r>
  </si>
  <si>
    <t>Worst-case richtend moment</t>
  </si>
  <si>
    <r>
      <t>RM</t>
    </r>
    <r>
      <rPr>
        <vertAlign val="subscript"/>
        <sz val="11"/>
        <color theme="1"/>
        <rFont val="Calibri"/>
        <family val="2"/>
        <scheme val="minor"/>
      </rPr>
      <t>DESIGN</t>
    </r>
  </si>
  <si>
    <t>Lengte voorlijk grootzeil dubbelgereefd</t>
  </si>
  <si>
    <r>
      <t>P</t>
    </r>
    <r>
      <rPr>
        <vertAlign val="subscript"/>
        <sz val="11"/>
        <color theme="1"/>
        <rFont val="Calibri"/>
        <family val="2"/>
        <scheme val="minor"/>
      </rPr>
      <t>DUBBELRIF</t>
    </r>
  </si>
  <si>
    <t>*P</t>
  </si>
  <si>
    <t>Zeilpunt boven giek dubbelgereefd</t>
  </si>
  <si>
    <r>
      <t>Z</t>
    </r>
    <r>
      <rPr>
        <vertAlign val="subscript"/>
        <sz val="11"/>
        <color theme="1"/>
        <rFont val="Calibri"/>
        <family val="2"/>
        <scheme val="minor"/>
      </rPr>
      <t>DUBBELRIF</t>
    </r>
  </si>
  <si>
    <r>
      <t>*P</t>
    </r>
    <r>
      <rPr>
        <vertAlign val="subscript"/>
        <sz val="11"/>
        <color theme="1"/>
        <rFont val="Calibri"/>
        <family val="2"/>
        <scheme val="minor"/>
      </rPr>
      <t>DUBBELRIF</t>
    </r>
  </si>
  <si>
    <t>Voor- en achterstag dimensionering geldig voor enkele en dubbele zalingen</t>
  </si>
  <si>
    <t>Maatvoering dubbele zalingen</t>
  </si>
  <si>
    <t>Voorstag</t>
  </si>
  <si>
    <t>Hoogte zaling 2 boven mastvoet tov gestaagde hoogte</t>
  </si>
  <si>
    <r>
      <t>*H</t>
    </r>
    <r>
      <rPr>
        <vertAlign val="subscript"/>
        <sz val="11"/>
        <color theme="1"/>
        <rFont val="Calibri"/>
        <family val="2"/>
        <scheme val="minor"/>
      </rPr>
      <t>GESTAAGD</t>
    </r>
  </si>
  <si>
    <t>Benodigde breeksterkte</t>
  </si>
  <si>
    <t>FS</t>
  </si>
  <si>
    <t>N</t>
  </si>
  <si>
    <t>Hoogte zaling 1 boven mastvoet tov gestaagde hoogte</t>
  </si>
  <si>
    <t>kgf</t>
  </si>
  <si>
    <t>Breedte zaling 2 tov breedte wantputtings</t>
  </si>
  <si>
    <r>
      <t>*B</t>
    </r>
    <r>
      <rPr>
        <vertAlign val="subscript"/>
        <sz val="11"/>
        <color theme="1"/>
        <rFont val="Calibri"/>
        <family val="2"/>
        <scheme val="minor"/>
      </rPr>
      <t>RIG</t>
    </r>
  </si>
  <si>
    <t>Lengte</t>
  </si>
  <si>
    <r>
      <t>L</t>
    </r>
    <r>
      <rPr>
        <vertAlign val="subscript"/>
        <sz val="11"/>
        <color theme="1"/>
        <rFont val="Calibri"/>
        <family val="2"/>
        <scheme val="minor"/>
      </rPr>
      <t>FS</t>
    </r>
  </si>
  <si>
    <t>Breedte zaling 1 tov breedte wantputtings</t>
  </si>
  <si>
    <t>Achterstag</t>
  </si>
  <si>
    <t>Afstand bovenste zaling tot voorstag</t>
  </si>
  <si>
    <r>
      <t>L</t>
    </r>
    <r>
      <rPr>
        <vertAlign val="subscript"/>
        <sz val="11"/>
        <color theme="1"/>
        <rFont val="Calibri"/>
        <family val="2"/>
        <scheme val="minor"/>
      </rPr>
      <t>PANEL3</t>
    </r>
  </si>
  <si>
    <t>AS</t>
  </si>
  <si>
    <t>Afstand tussen zalingen</t>
  </si>
  <si>
    <r>
      <t>L</t>
    </r>
    <r>
      <rPr>
        <vertAlign val="subscript"/>
        <sz val="11"/>
        <color theme="1"/>
        <rFont val="Calibri"/>
        <family val="2"/>
        <scheme val="minor"/>
      </rPr>
      <t>PANEL2</t>
    </r>
  </si>
  <si>
    <t>Onderste zaling boven mastvoet</t>
  </si>
  <si>
    <r>
      <t>L</t>
    </r>
    <r>
      <rPr>
        <vertAlign val="subscript"/>
        <sz val="11"/>
        <color theme="1"/>
        <rFont val="Calibri"/>
        <family val="2"/>
        <scheme val="minor"/>
      </rPr>
      <t>PANEL1</t>
    </r>
  </si>
  <si>
    <r>
      <t>L</t>
    </r>
    <r>
      <rPr>
        <vertAlign val="subscript"/>
        <sz val="11"/>
        <color theme="1"/>
        <rFont val="Calibri"/>
        <family val="2"/>
        <scheme val="minor"/>
      </rPr>
      <t>AS</t>
    </r>
  </si>
  <si>
    <t>Breedte zaling 2</t>
  </si>
  <si>
    <t>Breedte zaling 1</t>
  </si>
  <si>
    <t>Bovenste zaling boven mastvoet</t>
  </si>
  <si>
    <t>Maatvoering enkele zalingen</t>
  </si>
  <si>
    <t>Hoek D3 met mast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</si>
  <si>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3</t>
    </r>
  </si>
  <si>
    <t>Hoogte zaling boven mastvoet tov gestaagde hoogte</t>
  </si>
  <si>
    <t>Hoek D2 met mast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</si>
  <si>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2</t>
    </r>
  </si>
  <si>
    <t>Afstand zaling - voorstag</t>
  </si>
  <si>
    <t>Hoek D1 met mast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</si>
  <si>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Calibri"/>
        <family val="2"/>
        <scheme val="minor"/>
      </rPr>
      <t>1</t>
    </r>
  </si>
  <si>
    <t>Afstand mastvoet - zaling</t>
  </si>
  <si>
    <t>Hoek V2 met mast</t>
  </si>
  <si>
    <r>
      <t>g</t>
    </r>
    <r>
      <rPr>
        <vertAlign val="subscript"/>
        <sz val="11"/>
        <color theme="1"/>
        <rFont val="Symbol"/>
        <family val="1"/>
        <charset val="2"/>
      </rPr>
      <t>2</t>
    </r>
  </si>
  <si>
    <t>Breedte zaling tov breedte wantputtings</t>
  </si>
  <si>
    <t>Hoek V1 met mast</t>
  </si>
  <si>
    <r>
      <t>g</t>
    </r>
    <r>
      <rPr>
        <vertAlign val="subscript"/>
        <sz val="11"/>
        <color theme="1"/>
        <rFont val="Symbol"/>
        <family val="1"/>
        <charset val="2"/>
      </rPr>
      <t>1</t>
    </r>
  </si>
  <si>
    <t>Breedte zaling</t>
  </si>
  <si>
    <t>Lengtes</t>
  </si>
  <si>
    <t>D3</t>
  </si>
  <si>
    <t>V2</t>
  </si>
  <si>
    <r>
      <t>b</t>
    </r>
    <r>
      <rPr>
        <vertAlign val="subscript"/>
        <sz val="11"/>
        <color theme="1"/>
        <rFont val="Symbol"/>
        <family val="1"/>
        <charset val="2"/>
      </rPr>
      <t>1</t>
    </r>
  </si>
  <si>
    <t>D2</t>
  </si>
  <si>
    <r>
      <t>b</t>
    </r>
    <r>
      <rPr>
        <vertAlign val="subscript"/>
        <sz val="11"/>
        <color theme="1"/>
        <rFont val="Symbol"/>
        <family val="1"/>
        <charset val="2"/>
      </rPr>
      <t>2</t>
    </r>
  </si>
  <si>
    <t>V1</t>
  </si>
  <si>
    <t>D1</t>
  </si>
  <si>
    <t>Kies optie indien fractioneel getuigd</t>
  </si>
  <si>
    <t>kies:</t>
  </si>
  <si>
    <t>Dubbele of enkele D1's</t>
  </si>
  <si>
    <t>Worst-case scenario A: alleen voorzeil</t>
  </si>
  <si>
    <t>Zijwaardse kracht op voorstag bij mast</t>
  </si>
  <si>
    <t>F3</t>
  </si>
  <si>
    <t>F2</t>
  </si>
  <si>
    <t>Geen dwarskracht op bovenste zalingen in dit scenario</t>
  </si>
  <si>
    <t>Geen dwarskracht op zalingen in dit scenario</t>
  </si>
  <si>
    <t>F1</t>
  </si>
  <si>
    <t>Geen dwarskracht op onderste zalingen in dit scenario</t>
  </si>
  <si>
    <t>Bovenste diagonaal</t>
  </si>
  <si>
    <t>Onderste verticaal</t>
  </si>
  <si>
    <t>Middelste verticaal</t>
  </si>
  <si>
    <t>Onderste diagona(a)l(en)</t>
  </si>
  <si>
    <t>Middelste diagonaal</t>
  </si>
  <si>
    <t>Worst-case scenario B: alleen dubbelgereefd grootzeil</t>
  </si>
  <si>
    <r>
      <t>Zijwaardse kracht vanuit Z</t>
    </r>
    <r>
      <rPr>
        <vertAlign val="subscript"/>
        <sz val="11"/>
        <color theme="1"/>
        <rFont val="Calibri"/>
        <family val="2"/>
        <scheme val="minor"/>
      </rPr>
      <t>DUBBELRIF</t>
    </r>
  </si>
  <si>
    <r>
      <t>F</t>
    </r>
    <r>
      <rPr>
        <vertAlign val="subscript"/>
        <sz val="11"/>
        <color theme="1"/>
        <rFont val="Calibri"/>
        <family val="2"/>
        <scheme val="minor"/>
      </rPr>
      <t>Z</t>
    </r>
  </si>
  <si>
    <r>
      <t>Deel F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werkend op headboard</t>
    </r>
  </si>
  <si>
    <r>
      <t>F</t>
    </r>
    <r>
      <rPr>
        <vertAlign val="subscript"/>
        <sz val="11"/>
        <color theme="1"/>
        <rFont val="Calibri"/>
        <family val="2"/>
        <scheme val="minor"/>
      </rPr>
      <t>HEADBOARD</t>
    </r>
  </si>
  <si>
    <t>Headboard boven zalingen</t>
  </si>
  <si>
    <t>Headboard tussen zalingen</t>
  </si>
  <si>
    <r>
      <t>Deel F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werkend op giek</t>
    </r>
  </si>
  <si>
    <r>
      <t>F</t>
    </r>
    <r>
      <rPr>
        <vertAlign val="subscript"/>
        <sz val="11"/>
        <color theme="1"/>
        <rFont val="Calibri"/>
        <family val="2"/>
        <scheme val="minor"/>
      </rPr>
      <t>BOOM</t>
    </r>
  </si>
  <si>
    <t>Headboard onder zalingen</t>
  </si>
  <si>
    <t>Kracht headboard op masttop</t>
  </si>
  <si>
    <t>Hoogte headboard boven mastvoet</t>
  </si>
  <si>
    <r>
      <t>H</t>
    </r>
    <r>
      <rPr>
        <vertAlign val="subscript"/>
        <sz val="11"/>
        <color theme="1"/>
        <rFont val="Calibri"/>
        <family val="2"/>
        <scheme val="minor"/>
      </rPr>
      <t>HEAD</t>
    </r>
  </si>
  <si>
    <t>Headboard boven zaling</t>
  </si>
  <si>
    <t>Kracht headboard op zaling 2</t>
  </si>
  <si>
    <t>Kracht headboard op zaling 1</t>
  </si>
  <si>
    <t>F1 head</t>
  </si>
  <si>
    <t>Kracht headboard op zaling</t>
  </si>
  <si>
    <t>Kracht giek op zaling 1</t>
  </si>
  <si>
    <t>F1 giek</t>
  </si>
  <si>
    <t>Kracht giek op zaling</t>
  </si>
  <si>
    <t>Totaal dwarskracht op zaling 1</t>
  </si>
  <si>
    <t>Totaal dwarskracht op zaling</t>
  </si>
  <si>
    <t>Onderste diagonaal</t>
  </si>
  <si>
    <t>Dimensionering wanten inclusief safety factors  (V1 loopt via zaling door tot D2)</t>
  </si>
  <si>
    <t>Max waarden per stag scenario A en B</t>
  </si>
  <si>
    <t>Dimensionering wanten inclusief safety factors  (V2 loopt via zaling 2 door tot D3)</t>
  </si>
  <si>
    <t>D2/V1</t>
  </si>
  <si>
    <t>V2/D3</t>
  </si>
  <si>
    <t>Mastprofiel, transversaal buigmoment Ix</t>
  </si>
  <si>
    <t>Compressie op mast</t>
  </si>
  <si>
    <t>PT</t>
  </si>
  <si>
    <t>Panel factors afhankelijk fractioneel/top</t>
  </si>
  <si>
    <t>k1 panel 2</t>
  </si>
  <si>
    <t>k1 panel 1</t>
  </si>
  <si>
    <t>k3</t>
  </si>
  <si>
    <t>deck stepped</t>
  </si>
  <si>
    <t>Design buigmoment panel 2</t>
  </si>
  <si>
    <t>Ix2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</si>
  <si>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</si>
  <si>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t>Design buigmoment panel 1</t>
  </si>
  <si>
    <t>Ix1</t>
  </si>
  <si>
    <t>Mastprofiel, longitudinaal buigmoment Iy</t>
  </si>
  <si>
    <t>Panel factor als functie van opties (extra ondersteuning)</t>
  </si>
  <si>
    <t>k2</t>
  </si>
  <si>
    <t>k1 panel 2/3</t>
  </si>
  <si>
    <t>Design buigmoment in lengterichting</t>
  </si>
  <si>
    <t>Iy</t>
  </si>
  <si>
    <t>Ix3</t>
  </si>
  <si>
    <t>ly</t>
  </si>
  <si>
    <t>kg/m</t>
  </si>
  <si>
    <t>euro/m</t>
  </si>
  <si>
    <t>1x19</t>
  </si>
  <si>
    <t>Dyform</t>
  </si>
  <si>
    <t>Rod</t>
  </si>
  <si>
    <t>Panel factor afhankelijk doorgestoken/dek</t>
  </si>
  <si>
    <r>
      <t>Bepaling RM</t>
    </r>
    <r>
      <rPr>
        <vertAlign val="subscript"/>
        <sz val="11"/>
        <color theme="1"/>
        <rFont val="Calibri"/>
        <family val="2"/>
        <scheme val="minor"/>
      </rPr>
      <t>DESIGN</t>
    </r>
  </si>
  <si>
    <t>Lengtes SB+BB</t>
  </si>
  <si>
    <t>Gewicht verstaging zonder accesoires</t>
  </si>
  <si>
    <t>Kosten verstaging zonder accesoires</t>
  </si>
  <si>
    <t>eur</t>
  </si>
  <si>
    <t>Berekening gewicht en kosten verstaging</t>
  </si>
  <si>
    <t>dm2/m</t>
  </si>
  <si>
    <t>Frontaal oppervlak</t>
  </si>
  <si>
    <t>Materiaal verstaging</t>
  </si>
  <si>
    <t>Gekozen diameters</t>
  </si>
  <si>
    <t>mm</t>
  </si>
  <si>
    <t>Gewichten</t>
  </si>
  <si>
    <t>Oppervlaktes</t>
  </si>
  <si>
    <r>
      <t>dm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</t>
    </r>
  </si>
  <si>
    <t>SS1x19</t>
  </si>
  <si>
    <t>Kosten</t>
  </si>
  <si>
    <t>eur/m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</si>
  <si>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</si>
  <si>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HULPTABELLEN EN VELDEN: NIET VERWIJDEREN</t>
  </si>
  <si>
    <t>Sparcraft I 265 E</t>
  </si>
  <si>
    <t>Sectie</t>
  </si>
  <si>
    <t>l</t>
  </si>
  <si>
    <t>b</t>
  </si>
  <si>
    <t>Ixx</t>
  </si>
  <si>
    <t>Iyy</t>
  </si>
  <si>
    <t>gewicht/m</t>
  </si>
  <si>
    <t>Sparcraft I 265 E + rolreef</t>
  </si>
  <si>
    <t>Sparcraft IMS 256</t>
  </si>
  <si>
    <t>VMG NF270</t>
  </si>
  <si>
    <t>Selden C175</t>
  </si>
  <si>
    <t>Selden C193</t>
  </si>
  <si>
    <t>Sparcraft S260</t>
  </si>
  <si>
    <t>VMG NF200</t>
  </si>
  <si>
    <t>Mtot</t>
  </si>
  <si>
    <t>moment</t>
  </si>
  <si>
    <t>Inclining test</t>
  </si>
  <si>
    <t>mast boven CG 0 degrees</t>
  </si>
  <si>
    <t>helling</t>
  </si>
  <si>
    <t>RM</t>
  </si>
  <si>
    <t>gewicht vertikaal</t>
  </si>
  <si>
    <t>compressie</t>
  </si>
  <si>
    <t>gewicht haaks op mast</t>
  </si>
  <si>
    <t>kN*m</t>
  </si>
  <si>
    <t>Zeilplan Aurora</t>
  </si>
  <si>
    <t>HA</t>
  </si>
  <si>
    <t>genua</t>
  </si>
  <si>
    <t>HA+rif (werkfok)</t>
  </si>
  <si>
    <t>Zwaarweerfok</t>
  </si>
  <si>
    <t>main</t>
  </si>
  <si>
    <t>main 1 rif</t>
  </si>
  <si>
    <t>main 2 rif</t>
  </si>
  <si>
    <t>main + gen</t>
  </si>
  <si>
    <t>Main + HA</t>
  </si>
  <si>
    <t>Main1 + HA</t>
  </si>
  <si>
    <t>Main2 + HA</t>
  </si>
  <si>
    <t>Main2 + werk</t>
  </si>
  <si>
    <t>Main2 + zwaarweer</t>
  </si>
  <si>
    <t>zwaarweer</t>
  </si>
  <si>
    <t>First 31.7 @30 deg</t>
  </si>
  <si>
    <t>First 310S</t>
  </si>
  <si>
    <t>First 310 / Oceanis 311</t>
  </si>
  <si>
    <t>Masttop</t>
  </si>
  <si>
    <t>Airmar 150WX + NMEA2000 kabel</t>
  </si>
  <si>
    <t>Grootzeilval</t>
  </si>
  <si>
    <t>Kraanlijn</t>
  </si>
  <si>
    <t>Verjongd, hoeveel, hoe en vanaf waar?</t>
  </si>
  <si>
    <t>Voorstagbevestiging</t>
  </si>
  <si>
    <t>Genuaval doorvoer, blok en geleiding ivm rolreef</t>
  </si>
  <si>
    <t>D3 bevestiging</t>
  </si>
  <si>
    <t>Zaling breedtes en hoeken, stag bevestiging/koppeling</t>
  </si>
  <si>
    <t>Binnen voorstag bevestiging van Dyneema stag. Iets met een oogterminal</t>
  </si>
  <si>
    <t>Binnen voorzeilval doorvoer, blok en geleiding</t>
  </si>
  <si>
    <t>Binnen voorstag spanner in ankerbak: cascade of ander systeem?</t>
  </si>
  <si>
    <t>Deklicht/stoomlicht 3x1.5 mm2: waar uit te voeren</t>
  </si>
  <si>
    <t>Radar reflextor boven deklicht</t>
  </si>
  <si>
    <t>Spiboomval doorvoer, blok en geleiding</t>
  </si>
  <si>
    <t>Balterminals vervangen</t>
  </si>
  <si>
    <t>Voorstagputting laten maken en aanbrengen</t>
  </si>
  <si>
    <t>Plek trommel / anker bespreken</t>
  </si>
  <si>
    <t>Valdoorvoeren welke kant en hoogtes</t>
  </si>
  <si>
    <t>Kabelgoten waar?</t>
  </si>
  <si>
    <t>Mastvoet herbruiken?</t>
  </si>
  <si>
    <t>Grootzeil leuverinvoer en stop</t>
  </si>
  <si>
    <t>Beslag neerhouder overzetten</t>
  </si>
  <si>
    <t>Lummelbeslag overzetten</t>
  </si>
  <si>
    <t>Hoogtes en type ogen voor spiboom</t>
  </si>
  <si>
    <t>Windex overzetten</t>
  </si>
  <si>
    <t>VHF antenne + H155. Nieuwe steun</t>
  </si>
  <si>
    <t>Voorbereiden haakterminals ivm bakstagen?</t>
  </si>
  <si>
    <t>Vlaggelijn blokjes zalingen, kikkers op mast?</t>
  </si>
  <si>
    <t>Kikkers op mast onder valdoorvoer?</t>
  </si>
  <si>
    <t>Haakje op zalingen tbv binnen-voorstag</t>
  </si>
  <si>
    <t>Backstayflipper indien achterdat niet altijd op spanning hoeft ivm veiligheid mast</t>
  </si>
  <si>
    <t>Spinnakerval doorvoer, blok en trompet. Naar masttop met klapblok boven voorstag?</t>
  </si>
  <si>
    <t>Aquasignal AS34 + 3x1.5 mm2. Afgeschermd?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</si>
</sst>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7.5"/>
      <color rgb="FFFF0000"/>
      <name val="Calibri"/>
      <family val="2"/>
      <scheme val="minor"/>
    </font>
    <font>
      <sz val="7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2" fontId="0" fillId="0" borderId="0" xfId="0" applyNumberFormat="1"/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2" fontId="0" fillId="3" borderId="0" xfId="0" applyNumberFormat="1" applyFill="1" applyBorder="1"/>
    <xf numFmtId="0" fontId="0" fillId="0" borderId="8" xfId="0" applyBorder="1"/>
    <xf numFmtId="0" fontId="0" fillId="0" borderId="0" xfId="0" applyBorder="1"/>
    <xf numFmtId="2" fontId="0" fillId="0" borderId="0" xfId="0" applyNumberFormat="1" applyFont="1" applyBorder="1" applyAlignment="1">
      <alignment horizontal="right"/>
    </xf>
    <xf numFmtId="2" fontId="1" fillId="0" borderId="8" xfId="0" applyNumberFormat="1" applyFont="1" applyBorder="1" applyAlignment="1"/>
    <xf numFmtId="2" fontId="0" fillId="0" borderId="0" xfId="0" applyNumberFormat="1" applyBorder="1"/>
    <xf numFmtId="0" fontId="0" fillId="3" borderId="0" xfId="0" applyFill="1" applyBorder="1"/>
    <xf numFmtId="2" fontId="0" fillId="0" borderId="0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3" borderId="10" xfId="0" applyFill="1" applyBorder="1"/>
    <xf numFmtId="0" fontId="0" fillId="0" borderId="11" xfId="0" applyBorder="1"/>
    <xf numFmtId="0" fontId="0" fillId="0" borderId="7" xfId="0" applyFill="1" applyBorder="1" applyAlignment="1">
      <alignment horizontal="right"/>
    </xf>
    <xf numFmtId="1" fontId="0" fillId="0" borderId="0" xfId="0" applyNumberFormat="1" applyBorder="1"/>
    <xf numFmtId="0" fontId="0" fillId="0" borderId="9" xfId="0" applyFill="1" applyBorder="1" applyAlignment="1">
      <alignment horizontal="right"/>
    </xf>
    <xf numFmtId="1" fontId="0" fillId="0" borderId="10" xfId="0" applyNumberFormat="1" applyBorder="1"/>
    <xf numFmtId="1" fontId="0" fillId="3" borderId="0" xfId="0" applyNumberFormat="1" applyFill="1" applyBorder="1"/>
    <xf numFmtId="0" fontId="0" fillId="0" borderId="10" xfId="0" applyBorder="1"/>
    <xf numFmtId="2" fontId="0" fillId="0" borderId="10" xfId="0" applyNumberFormat="1" applyBorder="1"/>
    <xf numFmtId="0" fontId="0" fillId="0" borderId="0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13" xfId="0" applyBorder="1" applyAlignment="1">
      <alignment horizontal="right"/>
    </xf>
    <xf numFmtId="1" fontId="0" fillId="0" borderId="13" xfId="0" applyNumberFormat="1" applyBorder="1"/>
    <xf numFmtId="0" fontId="0" fillId="0" borderId="14" xfId="0" applyBorder="1"/>
    <xf numFmtId="0" fontId="0" fillId="0" borderId="12" xfId="0" applyBorder="1" applyAlignment="1">
      <alignment horizontal="right"/>
    </xf>
    <xf numFmtId="2" fontId="0" fillId="3" borderId="13" xfId="0" applyNumberFormat="1" applyFill="1" applyBorder="1"/>
    <xf numFmtId="0" fontId="0" fillId="0" borderId="14" xfId="0" applyBorder="1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4" xfId="0" applyBorder="1" applyAlignment="1">
      <alignment horizontal="right"/>
    </xf>
    <xf numFmtId="0" fontId="0" fillId="0" borderId="5" xfId="0" applyFill="1" applyBorder="1" applyAlignment="1">
      <alignment horizontal="right"/>
    </xf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1" fontId="0" fillId="4" borderId="0" xfId="0" applyNumberFormat="1" applyFill="1" applyBorder="1"/>
    <xf numFmtId="0" fontId="0" fillId="0" borderId="13" xfId="0" applyFill="1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0" fillId="0" borderId="8" xfId="0" applyFill="1" applyBorder="1"/>
    <xf numFmtId="164" fontId="0" fillId="0" borderId="0" xfId="0" applyNumberFormat="1" applyBorder="1"/>
    <xf numFmtId="0" fontId="4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64" fontId="0" fillId="0" borderId="10" xfId="0" applyNumberFormat="1" applyBorder="1"/>
    <xf numFmtId="0" fontId="0" fillId="0" borderId="11" xfId="0" applyFill="1" applyBorder="1"/>
    <xf numFmtId="0" fontId="0" fillId="3" borderId="5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1" fontId="0" fillId="3" borderId="13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0" borderId="0" xfId="0" applyFill="1" applyBorder="1"/>
    <xf numFmtId="1" fontId="0" fillId="0" borderId="0" xfId="0" applyNumberFormat="1" applyBorder="1" applyAlignment="1"/>
    <xf numFmtId="0" fontId="0" fillId="0" borderId="9" xfId="0" applyBorder="1"/>
    <xf numFmtId="1" fontId="0" fillId="0" borderId="10" xfId="0" applyNumberFormat="1" applyBorder="1" applyAlignment="1"/>
    <xf numFmtId="164" fontId="0" fillId="0" borderId="0" xfId="0" applyNumberFormat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Fill="1" applyBorder="1"/>
    <xf numFmtId="1" fontId="0" fillId="0" borderId="0" xfId="0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1" fontId="0" fillId="4" borderId="5" xfId="0" applyNumberFormat="1" applyFill="1" applyBorder="1"/>
    <xf numFmtId="1" fontId="0" fillId="4" borderId="13" xfId="0" applyNumberFormat="1" applyFill="1" applyBorder="1"/>
    <xf numFmtId="0" fontId="0" fillId="0" borderId="4" xfId="0" applyFill="1" applyBorder="1" applyAlignment="1">
      <alignment horizontal="right"/>
    </xf>
    <xf numFmtId="1" fontId="0" fillId="0" borderId="5" xfId="0" applyNumberFormat="1" applyFill="1" applyBorder="1"/>
    <xf numFmtId="1" fontId="0" fillId="0" borderId="0" xfId="0" applyNumberFormat="1" applyFill="1" applyBorder="1"/>
    <xf numFmtId="1" fontId="0" fillId="0" borderId="10" xfId="0" applyNumberFormat="1" applyFill="1" applyBorder="1"/>
    <xf numFmtId="0" fontId="0" fillId="0" borderId="14" xfId="0" applyFill="1" applyBorder="1"/>
    <xf numFmtId="0" fontId="0" fillId="0" borderId="13" xfId="0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5" xfId="0" applyNumberFormat="1" applyBorder="1"/>
    <xf numFmtId="164" fontId="0" fillId="0" borderId="5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1" fontId="0" fillId="3" borderId="5" xfId="0" applyNumberFormat="1" applyFill="1" applyBorder="1" applyAlignment="1">
      <alignment horizontal="center"/>
    </xf>
    <xf numFmtId="164" fontId="0" fillId="0" borderId="5" xfId="0" applyNumberFormat="1" applyBorder="1"/>
    <xf numFmtId="1" fontId="0" fillId="4" borderId="5" xfId="0" applyNumberFormat="1" applyFill="1" applyBorder="1" applyAlignment="1">
      <alignment horizontal="right"/>
    </xf>
    <xf numFmtId="1" fontId="0" fillId="4" borderId="0" xfId="0" applyNumberFormat="1" applyFill="1" applyBorder="1" applyAlignment="1">
      <alignment horizontal="right"/>
    </xf>
    <xf numFmtId="2" fontId="0" fillId="4" borderId="13" xfId="0" applyNumberFormat="1" applyFill="1" applyBorder="1"/>
    <xf numFmtId="0" fontId="0" fillId="0" borderId="21" xfId="0" applyBorder="1"/>
    <xf numFmtId="0" fontId="0" fillId="0" borderId="22" xfId="0" applyFill="1" applyBorder="1" applyAlignment="1">
      <alignment horizontal="right"/>
    </xf>
    <xf numFmtId="0" fontId="0" fillId="0" borderId="23" xfId="0" applyBorder="1"/>
    <xf numFmtId="0" fontId="0" fillId="0" borderId="25" xfId="0" applyBorder="1"/>
    <xf numFmtId="2" fontId="0" fillId="0" borderId="5" xfId="0" applyNumberFormat="1" applyFill="1" applyBorder="1"/>
    <xf numFmtId="0" fontId="0" fillId="0" borderId="23" xfId="0" applyFill="1" applyBorder="1"/>
    <xf numFmtId="0" fontId="0" fillId="0" borderId="24" xfId="0" applyNumberFormat="1" applyFill="1" applyBorder="1" applyAlignment="1">
      <alignment horizontal="right"/>
    </xf>
    <xf numFmtId="0" fontId="0" fillId="0" borderId="26" xfId="0" applyNumberFormat="1" applyFill="1" applyBorder="1" applyAlignment="1">
      <alignment horizontal="right"/>
    </xf>
    <xf numFmtId="0" fontId="0" fillId="0" borderId="0" xfId="0" applyNumberFormat="1"/>
    <xf numFmtId="0" fontId="0" fillId="0" borderId="0" xfId="0" applyNumberFormat="1" applyFill="1" applyBorder="1"/>
    <xf numFmtId="0" fontId="0" fillId="0" borderId="10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/>
    <xf numFmtId="0" fontId="0" fillId="3" borderId="0" xfId="0" applyFill="1"/>
    <xf numFmtId="9" fontId="0" fillId="0" borderId="0" xfId="0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2" fontId="0" fillId="3" borderId="0" xfId="0" applyNumberFormat="1" applyFill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2" borderId="18" xfId="0" applyFont="1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285749</xdr:colOff>
      <xdr:row>38</xdr:row>
      <xdr:rowOff>47623</xdr:rowOff>
    </xdr:from>
    <xdr:to>
      <xdr:col>11</xdr:col>
      <xdr:colOff>333374</xdr:colOff>
      <xdr:row>70</xdr:row>
      <xdr:rowOff>3572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170" t="29626" r="50671" b="11285"/>
        <a:stretch/>
      </xdr:blipFill>
      <xdr:spPr>
        <a:xfrm>
          <a:off x="12563474" y="8477248"/>
          <a:ext cx="1971675" cy="6415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128655</xdr:colOff>
      <xdr:row>2</xdr:row>
      <xdr:rowOff>202405</xdr:rowOff>
    </xdr:from>
    <xdr:to>
      <xdr:col>18</xdr:col>
      <xdr:colOff>369095</xdr:colOff>
      <xdr:row>37</xdr:row>
      <xdr:rowOff>210809</xdr:rowOff>
    </xdr:to>
    <xdr:pic>
      <xdr:nvPicPr>
        <xdr:cNvPr id="3" name="Afbeelding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8139" t="10256" r="9945" b="6076"/>
        <a:stretch/>
      </xdr:blipFill>
      <xdr:spPr>
        <a:xfrm>
          <a:off x="12406380" y="688180"/>
          <a:ext cx="6431690" cy="7222331"/>
        </a:xfrm>
        <a:prstGeom prst="rect">
          <a:avLst/>
        </a:prstGeom>
      </xdr:spPr>
    </xdr:pic>
    <xdr:clientData/>
  </xdr:twoCellAnchor>
  <xdr:twoCellAnchor editAs="oneCell">
    <xdr:from>
      <xdr:col>11</xdr:col>
      <xdr:colOff>392906</xdr:colOff>
      <xdr:row>37</xdr:row>
      <xdr:rowOff>147170</xdr:rowOff>
    </xdr:from>
    <xdr:to>
      <xdr:col>15</xdr:col>
      <xdr:colOff>190500</xdr:colOff>
      <xdr:row>70</xdr:row>
      <xdr:rowOff>56032</xdr:rowOff>
    </xdr:to>
    <xdr:pic>
      <xdr:nvPicPr>
        <xdr:cNvPr id="4" name="Afbeelding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052" t="19208" r="51494" b="9820"/>
        <a:stretch/>
      </xdr:blipFill>
      <xdr:spPr>
        <a:xfrm>
          <a:off x="14594681" y="8348195"/>
          <a:ext cx="2235994" cy="6596534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333374</xdr:colOff>
      <xdr:row>70</xdr:row>
      <xdr:rowOff>119063</xdr:rowOff>
    </xdr:from>
    <xdr:to>
      <xdr:col>19</xdr:col>
      <xdr:colOff>178594</xdr:colOff>
      <xdr:row>102</xdr:row>
      <xdr:rowOff>9106</xdr:rowOff>
    </xdr:to>
    <xdr:pic>
      <xdr:nvPicPr>
        <xdr:cNvPr id="5" name="Afbeelding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4893" t="10419" r="24222" b="3634"/>
        <a:stretch/>
      </xdr:blipFill>
      <xdr:spPr>
        <a:xfrm>
          <a:off x="12611099" y="15063788"/>
          <a:ext cx="6646069" cy="6274593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11</xdr:row>
      <xdr:rowOff>214315</xdr:rowOff>
    </xdr:from>
    <xdr:to>
      <xdr:col>4</xdr:col>
      <xdr:colOff>773906</xdr:colOff>
      <xdr:row>14</xdr:row>
      <xdr:rowOff>107158</xdr:rowOff>
    </xdr:to>
    <xdr:sp macro="" textlink="">
      <xdr:nvSpPr>
        <xdr:cNvPr id="6" name="PIJL-RECHTS 5"/>
        <xdr:cNvSpPr/>
      </xdr:nvSpPr>
      <xdr:spPr>
        <a:xfrm>
          <a:off x="5753099" y="2462215"/>
          <a:ext cx="726282" cy="5786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3096316</xdr:colOff>
      <xdr:row>26</xdr:row>
      <xdr:rowOff>124561</xdr:rowOff>
    </xdr:from>
    <xdr:to>
      <xdr:col>6</xdr:col>
      <xdr:colOff>50148</xdr:colOff>
      <xdr:row>33</xdr:row>
      <xdr:rowOff>152828</xdr:rowOff>
    </xdr:to>
    <xdr:sp macro="" textlink="">
      <xdr:nvSpPr>
        <xdr:cNvPr id="7" name="PIJL-RECHTS 6"/>
        <xdr:cNvSpPr/>
      </xdr:nvSpPr>
      <xdr:spPr>
        <a:xfrm rot="5400000">
          <a:off x="9451241" y="5988850"/>
          <a:ext cx="1457017" cy="6141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2696765</xdr:colOff>
      <xdr:row>21</xdr:row>
      <xdr:rowOff>53579</xdr:rowOff>
    </xdr:from>
    <xdr:to>
      <xdr:col>0</xdr:col>
      <xdr:colOff>3268265</xdr:colOff>
      <xdr:row>23</xdr:row>
      <xdr:rowOff>0</xdr:rowOff>
    </xdr:to>
    <xdr:sp macro="" textlink="">
      <xdr:nvSpPr>
        <xdr:cNvPr id="8" name="PIJL-RECHTS 7"/>
        <xdr:cNvSpPr/>
      </xdr:nvSpPr>
      <xdr:spPr>
        <a:xfrm rot="5400000">
          <a:off x="2680692" y="4508302"/>
          <a:ext cx="603646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204458</xdr:colOff>
      <xdr:row>48</xdr:row>
      <xdr:rowOff>46483</xdr:rowOff>
    </xdr:from>
    <xdr:to>
      <xdr:col>2</xdr:col>
      <xdr:colOff>124916</xdr:colOff>
      <xdr:row>58</xdr:row>
      <xdr:rowOff>136072</xdr:rowOff>
    </xdr:to>
    <xdr:sp macro="" textlink="">
      <xdr:nvSpPr>
        <xdr:cNvPr id="9" name="PIJL-RECHTS 8"/>
        <xdr:cNvSpPr/>
      </xdr:nvSpPr>
      <xdr:spPr>
        <a:xfrm rot="5400000">
          <a:off x="3120268" y="10955530"/>
          <a:ext cx="2035410" cy="5736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222069</xdr:colOff>
      <xdr:row>67</xdr:row>
      <xdr:rowOff>83101</xdr:rowOff>
    </xdr:from>
    <xdr:to>
      <xdr:col>2</xdr:col>
      <xdr:colOff>142527</xdr:colOff>
      <xdr:row>72</xdr:row>
      <xdr:rowOff>165692</xdr:rowOff>
    </xdr:to>
    <xdr:sp macro="" textlink="">
      <xdr:nvSpPr>
        <xdr:cNvPr id="10" name="PIJL-RECHTS 9"/>
        <xdr:cNvSpPr/>
      </xdr:nvSpPr>
      <xdr:spPr>
        <a:xfrm rot="5400000">
          <a:off x="3631235" y="14186328"/>
          <a:ext cx="1048698" cy="5736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3194830</xdr:colOff>
      <xdr:row>93</xdr:row>
      <xdr:rowOff>34976</xdr:rowOff>
    </xdr:from>
    <xdr:to>
      <xdr:col>1</xdr:col>
      <xdr:colOff>121717</xdr:colOff>
      <xdr:row>94</xdr:row>
      <xdr:rowOff>159292</xdr:rowOff>
    </xdr:to>
    <xdr:sp macro="" textlink="">
      <xdr:nvSpPr>
        <xdr:cNvPr id="11" name="PIJL-RECHTS 10"/>
        <xdr:cNvSpPr/>
      </xdr:nvSpPr>
      <xdr:spPr>
        <a:xfrm rot="5400000">
          <a:off x="3324223" y="19064440"/>
          <a:ext cx="314816" cy="5736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3117187</xdr:colOff>
      <xdr:row>109</xdr:row>
      <xdr:rowOff>39874</xdr:rowOff>
    </xdr:from>
    <xdr:to>
      <xdr:col>6</xdr:col>
      <xdr:colOff>112110</xdr:colOff>
      <xdr:row>110</xdr:row>
      <xdr:rowOff>156066</xdr:rowOff>
    </xdr:to>
    <xdr:sp macro="" textlink="">
      <xdr:nvSpPr>
        <xdr:cNvPr id="12" name="PIJL-RECHTS 11"/>
        <xdr:cNvSpPr/>
      </xdr:nvSpPr>
      <xdr:spPr>
        <a:xfrm rot="5400000">
          <a:off x="9809285" y="22154098"/>
          <a:ext cx="306692" cy="5736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2839642</xdr:colOff>
      <xdr:row>32</xdr:row>
      <xdr:rowOff>53580</xdr:rowOff>
    </xdr:from>
    <xdr:to>
      <xdr:col>0</xdr:col>
      <xdr:colOff>3411142</xdr:colOff>
      <xdr:row>33</xdr:row>
      <xdr:rowOff>190502</xdr:rowOff>
    </xdr:to>
    <xdr:sp macro="" textlink="">
      <xdr:nvSpPr>
        <xdr:cNvPr id="13" name="PIJL-RECHTS 12"/>
        <xdr:cNvSpPr/>
      </xdr:nvSpPr>
      <xdr:spPr>
        <a:xfrm rot="5400000">
          <a:off x="2961681" y="7056241"/>
          <a:ext cx="327422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3144604</xdr:colOff>
      <xdr:row>57</xdr:row>
      <xdr:rowOff>29568</xdr:rowOff>
    </xdr:from>
    <xdr:to>
      <xdr:col>6</xdr:col>
      <xdr:colOff>137426</xdr:colOff>
      <xdr:row>58</xdr:row>
      <xdr:rowOff>188902</xdr:rowOff>
    </xdr:to>
    <xdr:sp macro="" textlink="">
      <xdr:nvSpPr>
        <xdr:cNvPr id="14" name="PIJL-RECHTS 13"/>
        <xdr:cNvSpPr/>
      </xdr:nvSpPr>
      <xdr:spPr>
        <a:xfrm rot="5400000">
          <a:off x="9814080" y="11852199"/>
          <a:ext cx="349834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3130194</xdr:colOff>
      <xdr:row>71</xdr:row>
      <xdr:rowOff>47375</xdr:rowOff>
    </xdr:from>
    <xdr:to>
      <xdr:col>6</xdr:col>
      <xdr:colOff>123016</xdr:colOff>
      <xdr:row>72</xdr:row>
      <xdr:rowOff>173091</xdr:rowOff>
    </xdr:to>
    <xdr:sp macro="" textlink="">
      <xdr:nvSpPr>
        <xdr:cNvPr id="15" name="PIJL-RECHTS 14"/>
        <xdr:cNvSpPr/>
      </xdr:nvSpPr>
      <xdr:spPr>
        <a:xfrm rot="5400000">
          <a:off x="9816479" y="14561019"/>
          <a:ext cx="316216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3131795</xdr:colOff>
      <xdr:row>92</xdr:row>
      <xdr:rowOff>38271</xdr:rowOff>
    </xdr:from>
    <xdr:to>
      <xdr:col>6</xdr:col>
      <xdr:colOff>124617</xdr:colOff>
      <xdr:row>94</xdr:row>
      <xdr:rowOff>163286</xdr:rowOff>
    </xdr:to>
    <xdr:sp macro="" textlink="">
      <xdr:nvSpPr>
        <xdr:cNvPr id="16" name="PIJL-RECHTS 15"/>
        <xdr:cNvSpPr/>
      </xdr:nvSpPr>
      <xdr:spPr>
        <a:xfrm rot="5400000">
          <a:off x="9716377" y="18967082"/>
          <a:ext cx="519622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3214238</xdr:colOff>
      <xdr:row>103</xdr:row>
      <xdr:rowOff>43374</xdr:rowOff>
    </xdr:from>
    <xdr:to>
      <xdr:col>1</xdr:col>
      <xdr:colOff>139024</xdr:colOff>
      <xdr:row>110</xdr:row>
      <xdr:rowOff>149677</xdr:rowOff>
    </xdr:to>
    <xdr:sp macro="" textlink="">
      <xdr:nvSpPr>
        <xdr:cNvPr id="17" name="PIJL-RECHTS 16"/>
        <xdr:cNvSpPr/>
      </xdr:nvSpPr>
      <xdr:spPr>
        <a:xfrm rot="5400000">
          <a:off x="2773282" y="21575401"/>
          <a:ext cx="1453411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71545</xdr:colOff>
      <xdr:row>26</xdr:row>
      <xdr:rowOff>117231</xdr:rowOff>
    </xdr:from>
    <xdr:to>
      <xdr:col>5</xdr:col>
      <xdr:colOff>3553558</xdr:colOff>
      <xdr:row>27</xdr:row>
      <xdr:rowOff>198690</xdr:rowOff>
    </xdr:to>
    <xdr:sp macro="" textlink="">
      <xdr:nvSpPr>
        <xdr:cNvPr id="18" name="Rechthoek 17"/>
        <xdr:cNvSpPr/>
      </xdr:nvSpPr>
      <xdr:spPr>
        <a:xfrm>
          <a:off x="5779218" y="5509846"/>
          <a:ext cx="4339263" cy="2719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3138353</xdr:colOff>
      <xdr:row>122</xdr:row>
      <xdr:rowOff>50458</xdr:rowOff>
    </xdr:from>
    <xdr:to>
      <xdr:col>1</xdr:col>
      <xdr:colOff>133277</xdr:colOff>
      <xdr:row>123</xdr:row>
      <xdr:rowOff>166650</xdr:rowOff>
    </xdr:to>
    <xdr:sp macro="" textlink="">
      <xdr:nvSpPr>
        <xdr:cNvPr id="19" name="PIJL-RECHTS 18"/>
        <xdr:cNvSpPr/>
      </xdr:nvSpPr>
      <xdr:spPr>
        <a:xfrm rot="5400000">
          <a:off x="3313386" y="24883842"/>
          <a:ext cx="306692" cy="6567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3127770</xdr:colOff>
      <xdr:row>120</xdr:row>
      <xdr:rowOff>50460</xdr:rowOff>
    </xdr:from>
    <xdr:to>
      <xdr:col>6</xdr:col>
      <xdr:colOff>122693</xdr:colOff>
      <xdr:row>123</xdr:row>
      <xdr:rowOff>137586</xdr:rowOff>
    </xdr:to>
    <xdr:sp macro="" textlink="">
      <xdr:nvSpPr>
        <xdr:cNvPr id="20" name="PIJL-RECHTS 19"/>
        <xdr:cNvSpPr/>
      </xdr:nvSpPr>
      <xdr:spPr>
        <a:xfrm rot="5400000">
          <a:off x="9879002" y="24657644"/>
          <a:ext cx="700960" cy="6567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523875</xdr:colOff>
      <xdr:row>165</xdr:row>
      <xdr:rowOff>95249</xdr:rowOff>
    </xdr:from>
    <xdr:to>
      <xdr:col>5</xdr:col>
      <xdr:colOff>631032</xdr:colOff>
      <xdr:row>186</xdr:row>
      <xdr:rowOff>-1</xdr:rowOff>
    </xdr:to>
    <xdr:pic>
      <xdr:nvPicPr>
        <xdr:cNvPr id="21" name="Afbeelding 2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2789" t="13185" r="23672" b="33423"/>
        <a:stretch/>
      </xdr:blipFill>
      <xdr:spPr>
        <a:xfrm>
          <a:off x="523875" y="33408937"/>
          <a:ext cx="6965157" cy="390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285749</xdr:colOff>
      <xdr:row>38</xdr:row>
      <xdr:rowOff>47623</xdr:rowOff>
    </xdr:from>
    <xdr:to>
      <xdr:col>11</xdr:col>
      <xdr:colOff>333374</xdr:colOff>
      <xdr:row>70</xdr:row>
      <xdr:rowOff>3572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170" t="29626" r="50671" b="11285"/>
        <a:stretch/>
      </xdr:blipFill>
      <xdr:spPr>
        <a:xfrm>
          <a:off x="13211174" y="7953373"/>
          <a:ext cx="1971675" cy="6413899"/>
        </a:xfrm>
        <a:prstGeom prst="rect">
          <a:avLst/>
        </a:prstGeom>
      </xdr:spPr>
    </xdr:pic>
    <xdr:clientData/>
  </xdr:twoCellAnchor>
  <xdr:twoCellAnchor editAs="oneCell">
    <xdr:from>
      <xdr:col>9</xdr:col>
      <xdr:colOff>128655</xdr:colOff>
      <xdr:row>2</xdr:row>
      <xdr:rowOff>202405</xdr:rowOff>
    </xdr:from>
    <xdr:to>
      <xdr:col>18</xdr:col>
      <xdr:colOff>369095</xdr:colOff>
      <xdr:row>37</xdr:row>
      <xdr:rowOff>210809</xdr:rowOff>
    </xdr:to>
    <xdr:pic>
      <xdr:nvPicPr>
        <xdr:cNvPr id="3" name="Afbeelding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8139" t="10256" r="9945" b="6076"/>
        <a:stretch/>
      </xdr:blipFill>
      <xdr:spPr>
        <a:xfrm>
          <a:off x="13054080" y="688180"/>
          <a:ext cx="6431690" cy="7199779"/>
        </a:xfrm>
        <a:prstGeom prst="rect">
          <a:avLst/>
        </a:prstGeom>
      </xdr:spPr>
    </xdr:pic>
    <xdr:clientData/>
  </xdr:twoCellAnchor>
  <xdr:twoCellAnchor editAs="oneCell">
    <xdr:from>
      <xdr:col>11</xdr:col>
      <xdr:colOff>392906</xdr:colOff>
      <xdr:row>37</xdr:row>
      <xdr:rowOff>147170</xdr:rowOff>
    </xdr:from>
    <xdr:to>
      <xdr:col>15</xdr:col>
      <xdr:colOff>190500</xdr:colOff>
      <xdr:row>70</xdr:row>
      <xdr:rowOff>56032</xdr:rowOff>
    </xdr:to>
    <xdr:pic>
      <xdr:nvPicPr>
        <xdr:cNvPr id="4" name="Afbeelding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052" t="19208" r="51494" b="9820"/>
        <a:stretch/>
      </xdr:blipFill>
      <xdr:spPr>
        <a:xfrm>
          <a:off x="15242381" y="7824320"/>
          <a:ext cx="2235994" cy="6595412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333374</xdr:colOff>
      <xdr:row>70</xdr:row>
      <xdr:rowOff>119063</xdr:rowOff>
    </xdr:from>
    <xdr:to>
      <xdr:col>19</xdr:col>
      <xdr:colOff>178594</xdr:colOff>
      <xdr:row>102</xdr:row>
      <xdr:rowOff>9106</xdr:rowOff>
    </xdr:to>
    <xdr:pic>
      <xdr:nvPicPr>
        <xdr:cNvPr id="5" name="Afbeelding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4893" t="10419" r="24222" b="3634"/>
        <a:stretch/>
      </xdr:blipFill>
      <xdr:spPr>
        <a:xfrm>
          <a:off x="13258799" y="14482763"/>
          <a:ext cx="6646070" cy="6300368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11</xdr:row>
      <xdr:rowOff>214315</xdr:rowOff>
    </xdr:from>
    <xdr:to>
      <xdr:col>4</xdr:col>
      <xdr:colOff>773906</xdr:colOff>
      <xdr:row>14</xdr:row>
      <xdr:rowOff>107158</xdr:rowOff>
    </xdr:to>
    <xdr:sp macro="" textlink="">
      <xdr:nvSpPr>
        <xdr:cNvPr id="6" name="PIJL-RECHTS 5"/>
        <xdr:cNvSpPr/>
      </xdr:nvSpPr>
      <xdr:spPr>
        <a:xfrm>
          <a:off x="6057899" y="2462215"/>
          <a:ext cx="726282" cy="5786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3096316</xdr:colOff>
      <xdr:row>26</xdr:row>
      <xdr:rowOff>124561</xdr:rowOff>
    </xdr:from>
    <xdr:to>
      <xdr:col>6</xdr:col>
      <xdr:colOff>50148</xdr:colOff>
      <xdr:row>33</xdr:row>
      <xdr:rowOff>152828</xdr:rowOff>
    </xdr:to>
    <xdr:sp macro="" textlink="">
      <xdr:nvSpPr>
        <xdr:cNvPr id="7" name="PIJL-RECHTS 6"/>
        <xdr:cNvSpPr/>
      </xdr:nvSpPr>
      <xdr:spPr>
        <a:xfrm rot="5400000">
          <a:off x="9545811" y="5952791"/>
          <a:ext cx="1447492" cy="6114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2696765</xdr:colOff>
      <xdr:row>21</xdr:row>
      <xdr:rowOff>53579</xdr:rowOff>
    </xdr:from>
    <xdr:to>
      <xdr:col>0</xdr:col>
      <xdr:colOff>3268265</xdr:colOff>
      <xdr:row>23</xdr:row>
      <xdr:rowOff>0</xdr:rowOff>
    </xdr:to>
    <xdr:sp macro="" textlink="">
      <xdr:nvSpPr>
        <xdr:cNvPr id="8" name="PIJL-RECHTS 7"/>
        <xdr:cNvSpPr/>
      </xdr:nvSpPr>
      <xdr:spPr>
        <a:xfrm rot="5400000">
          <a:off x="2814042" y="4384477"/>
          <a:ext cx="336946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204458</xdr:colOff>
      <xdr:row>48</xdr:row>
      <xdr:rowOff>46483</xdr:rowOff>
    </xdr:from>
    <xdr:to>
      <xdr:col>2</xdr:col>
      <xdr:colOff>124916</xdr:colOff>
      <xdr:row>58</xdr:row>
      <xdr:rowOff>136072</xdr:rowOff>
    </xdr:to>
    <xdr:sp macro="" textlink="">
      <xdr:nvSpPr>
        <xdr:cNvPr id="9" name="PIJL-RECHTS 8"/>
        <xdr:cNvSpPr/>
      </xdr:nvSpPr>
      <xdr:spPr>
        <a:xfrm rot="5400000">
          <a:off x="3177418" y="10837148"/>
          <a:ext cx="2042214" cy="6729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222069</xdr:colOff>
      <xdr:row>67</xdr:row>
      <xdr:rowOff>83101</xdr:rowOff>
    </xdr:from>
    <xdr:to>
      <xdr:col>2</xdr:col>
      <xdr:colOff>142527</xdr:colOff>
      <xdr:row>72</xdr:row>
      <xdr:rowOff>165692</xdr:rowOff>
    </xdr:to>
    <xdr:sp macro="" textlink="">
      <xdr:nvSpPr>
        <xdr:cNvPr id="10" name="PIJL-RECHTS 9"/>
        <xdr:cNvSpPr/>
      </xdr:nvSpPr>
      <xdr:spPr>
        <a:xfrm rot="5400000">
          <a:off x="3693828" y="14061142"/>
          <a:ext cx="1044616" cy="6729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3194830</xdr:colOff>
      <xdr:row>93</xdr:row>
      <xdr:rowOff>34976</xdr:rowOff>
    </xdr:from>
    <xdr:to>
      <xdr:col>1</xdr:col>
      <xdr:colOff>121717</xdr:colOff>
      <xdr:row>94</xdr:row>
      <xdr:rowOff>159292</xdr:rowOff>
    </xdr:to>
    <xdr:sp macro="" textlink="">
      <xdr:nvSpPr>
        <xdr:cNvPr id="11" name="PIJL-RECHTS 10"/>
        <xdr:cNvSpPr/>
      </xdr:nvSpPr>
      <xdr:spPr>
        <a:xfrm rot="5400000">
          <a:off x="3329666" y="18950140"/>
          <a:ext cx="314816" cy="58448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3117187</xdr:colOff>
      <xdr:row>109</xdr:row>
      <xdr:rowOff>39874</xdr:rowOff>
    </xdr:from>
    <xdr:to>
      <xdr:col>6</xdr:col>
      <xdr:colOff>112110</xdr:colOff>
      <xdr:row>110</xdr:row>
      <xdr:rowOff>156066</xdr:rowOff>
    </xdr:to>
    <xdr:sp macro="" textlink="">
      <xdr:nvSpPr>
        <xdr:cNvPr id="12" name="PIJL-RECHTS 11"/>
        <xdr:cNvSpPr/>
      </xdr:nvSpPr>
      <xdr:spPr>
        <a:xfrm rot="5400000">
          <a:off x="10157628" y="21993533"/>
          <a:ext cx="306692" cy="6525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2839642</xdr:colOff>
      <xdr:row>32</xdr:row>
      <xdr:rowOff>53580</xdr:rowOff>
    </xdr:from>
    <xdr:to>
      <xdr:col>0</xdr:col>
      <xdr:colOff>3411142</xdr:colOff>
      <xdr:row>33</xdr:row>
      <xdr:rowOff>190502</xdr:rowOff>
    </xdr:to>
    <xdr:sp macro="" textlink="">
      <xdr:nvSpPr>
        <xdr:cNvPr id="13" name="PIJL-RECHTS 12"/>
        <xdr:cNvSpPr/>
      </xdr:nvSpPr>
      <xdr:spPr>
        <a:xfrm rot="5400000">
          <a:off x="2961681" y="6570466"/>
          <a:ext cx="327422" cy="571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3144604</xdr:colOff>
      <xdr:row>57</xdr:row>
      <xdr:rowOff>29568</xdr:rowOff>
    </xdr:from>
    <xdr:to>
      <xdr:col>6</xdr:col>
      <xdr:colOff>137426</xdr:colOff>
      <xdr:row>58</xdr:row>
      <xdr:rowOff>188902</xdr:rowOff>
    </xdr:to>
    <xdr:sp macro="" textlink="">
      <xdr:nvSpPr>
        <xdr:cNvPr id="14" name="PIJL-RECHTS 13"/>
        <xdr:cNvSpPr/>
      </xdr:nvSpPr>
      <xdr:spPr>
        <a:xfrm rot="5400000">
          <a:off x="10162423" y="11747424"/>
          <a:ext cx="349834" cy="6504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3130194</xdr:colOff>
      <xdr:row>71</xdr:row>
      <xdr:rowOff>47375</xdr:rowOff>
    </xdr:from>
    <xdr:to>
      <xdr:col>6</xdr:col>
      <xdr:colOff>123016</xdr:colOff>
      <xdr:row>72</xdr:row>
      <xdr:rowOff>173091</xdr:rowOff>
    </xdr:to>
    <xdr:sp macro="" textlink="">
      <xdr:nvSpPr>
        <xdr:cNvPr id="15" name="PIJL-RECHTS 14"/>
        <xdr:cNvSpPr/>
      </xdr:nvSpPr>
      <xdr:spPr>
        <a:xfrm rot="5400000">
          <a:off x="10164822" y="14443997"/>
          <a:ext cx="316216" cy="6504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3131795</xdr:colOff>
      <xdr:row>92</xdr:row>
      <xdr:rowOff>38271</xdr:rowOff>
    </xdr:from>
    <xdr:to>
      <xdr:col>6</xdr:col>
      <xdr:colOff>124617</xdr:colOff>
      <xdr:row>94</xdr:row>
      <xdr:rowOff>163286</xdr:rowOff>
    </xdr:to>
    <xdr:sp macro="" textlink="">
      <xdr:nvSpPr>
        <xdr:cNvPr id="16" name="PIJL-RECHTS 15"/>
        <xdr:cNvSpPr/>
      </xdr:nvSpPr>
      <xdr:spPr>
        <a:xfrm rot="5400000">
          <a:off x="10066761" y="18820805"/>
          <a:ext cx="515540" cy="6504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3214238</xdr:colOff>
      <xdr:row>103</xdr:row>
      <xdr:rowOff>43374</xdr:rowOff>
    </xdr:from>
    <xdr:to>
      <xdr:col>1</xdr:col>
      <xdr:colOff>139024</xdr:colOff>
      <xdr:row>110</xdr:row>
      <xdr:rowOff>149677</xdr:rowOff>
    </xdr:to>
    <xdr:sp macro="" textlink="">
      <xdr:nvSpPr>
        <xdr:cNvPr id="17" name="PIJL-RECHTS 16"/>
        <xdr:cNvSpPr/>
      </xdr:nvSpPr>
      <xdr:spPr>
        <a:xfrm rot="5400000">
          <a:off x="2780767" y="21450895"/>
          <a:ext cx="1449328" cy="5823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71545</xdr:colOff>
      <xdr:row>26</xdr:row>
      <xdr:rowOff>117231</xdr:rowOff>
    </xdr:from>
    <xdr:to>
      <xdr:col>5</xdr:col>
      <xdr:colOff>3553558</xdr:colOff>
      <xdr:row>27</xdr:row>
      <xdr:rowOff>198690</xdr:rowOff>
    </xdr:to>
    <xdr:sp macro="" textlink="">
      <xdr:nvSpPr>
        <xdr:cNvPr id="18" name="Rechthoek 17"/>
        <xdr:cNvSpPr/>
      </xdr:nvSpPr>
      <xdr:spPr>
        <a:xfrm>
          <a:off x="6081820" y="5527431"/>
          <a:ext cx="4339263" cy="2719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3138353</xdr:colOff>
      <xdr:row>122</xdr:row>
      <xdr:rowOff>50458</xdr:rowOff>
    </xdr:from>
    <xdr:to>
      <xdr:col>1</xdr:col>
      <xdr:colOff>133277</xdr:colOff>
      <xdr:row>123</xdr:row>
      <xdr:rowOff>166650</xdr:rowOff>
    </xdr:to>
    <xdr:sp macro="" textlink="">
      <xdr:nvSpPr>
        <xdr:cNvPr id="19" name="PIJL-RECHTS 18"/>
        <xdr:cNvSpPr/>
      </xdr:nvSpPr>
      <xdr:spPr>
        <a:xfrm rot="5400000">
          <a:off x="3311269" y="24728267"/>
          <a:ext cx="306692" cy="6525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3127770</xdr:colOff>
      <xdr:row>120</xdr:row>
      <xdr:rowOff>50460</xdr:rowOff>
    </xdr:from>
    <xdr:to>
      <xdr:col>6</xdr:col>
      <xdr:colOff>122693</xdr:colOff>
      <xdr:row>123</xdr:row>
      <xdr:rowOff>137586</xdr:rowOff>
    </xdr:to>
    <xdr:sp macro="" textlink="">
      <xdr:nvSpPr>
        <xdr:cNvPr id="20" name="PIJL-RECHTS 19"/>
        <xdr:cNvSpPr/>
      </xdr:nvSpPr>
      <xdr:spPr>
        <a:xfrm rot="5400000">
          <a:off x="9973194" y="24504186"/>
          <a:ext cx="696726" cy="6525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6"/>
  <sheetViews>
    <sheetView tabSelected="1" zoomScale="80" zoomScaleNormal="80" workbookViewId="0">
      <selection activeCell="F140" sqref="F140"/>
    </sheetView>
  </sheetViews>
  <sheetFormatPr defaultRowHeight="14.4" x14ac:dyDescent="0.3"/>
  <cols>
    <col min="1" max="1" width="54.88671875" style="33" bestFit="1" customWidth="1"/>
    <col min="2" max="2" width="11.33203125" bestFit="1" customWidth="1"/>
    <col min="3" max="3" width="9.6640625" bestFit="1" customWidth="1"/>
    <col min="4" max="4" width="14.33203125" bestFit="1" customWidth="1"/>
    <col min="5" max="5" width="12.88671875" customWidth="1"/>
    <col min="6" max="6" width="54.88671875" style="33" bestFit="1" customWidth="1"/>
    <col min="7" max="7" width="12.44140625" bestFit="1" customWidth="1"/>
    <col min="8" max="8" width="12.109375" customWidth="1"/>
    <col min="9" max="9" width="11.44140625" bestFit="1" customWidth="1"/>
    <col min="10" max="10" width="15.5546875" customWidth="1"/>
    <col min="11" max="11" width="13.33203125" customWidth="1"/>
    <col min="29" max="29" width="11.109375" bestFit="1" customWidth="1"/>
  </cols>
  <sheetData>
    <row r="1" spans="1:34" ht="23.4" x14ac:dyDescent="0.4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Y1" s="140" t="s">
        <v>204</v>
      </c>
      <c r="Z1" s="140"/>
      <c r="AA1" s="140"/>
      <c r="AB1" s="140"/>
      <c r="AC1" s="140"/>
      <c r="AD1" s="140"/>
      <c r="AE1" s="140"/>
      <c r="AF1" s="140"/>
      <c r="AG1" s="140"/>
      <c r="AH1" s="140"/>
    </row>
    <row r="2" spans="1:34" x14ac:dyDescent="0.3">
      <c r="A2"/>
      <c r="F2"/>
    </row>
    <row r="3" spans="1:34" ht="15" thickBot="1" x14ac:dyDescent="0.35">
      <c r="A3"/>
      <c r="F3"/>
      <c r="Y3" s="89"/>
      <c r="Z3" s="59" t="s">
        <v>72</v>
      </c>
      <c r="AA3" s="36" t="s">
        <v>180</v>
      </c>
      <c r="AB3" s="36" t="s">
        <v>181</v>
      </c>
      <c r="AC3" s="59" t="s">
        <v>192</v>
      </c>
      <c r="AD3" s="90" t="s">
        <v>196</v>
      </c>
    </row>
    <row r="4" spans="1:34" x14ac:dyDescent="0.3">
      <c r="A4" s="131" t="s">
        <v>1</v>
      </c>
      <c r="B4" s="132"/>
      <c r="C4" s="132"/>
      <c r="D4" s="133"/>
      <c r="F4" s="131" t="s">
        <v>2</v>
      </c>
      <c r="G4" s="132"/>
      <c r="H4" s="132"/>
      <c r="I4" s="133"/>
      <c r="Y4" s="91" t="s">
        <v>183</v>
      </c>
      <c r="Z4" s="3">
        <v>9770</v>
      </c>
      <c r="AA4" s="11">
        <v>0.54</v>
      </c>
      <c r="AB4" s="11">
        <v>38.857500000000002</v>
      </c>
      <c r="AC4" s="11">
        <v>1</v>
      </c>
      <c r="AD4" s="95">
        <v>10</v>
      </c>
      <c r="AE4" s="1" t="str">
        <f>IF(H7-H9&lt;H8/100*6,"masthead","frac")</f>
        <v>frac</v>
      </c>
      <c r="AF4" t="s">
        <v>3</v>
      </c>
      <c r="AG4" t="s">
        <v>6</v>
      </c>
      <c r="AH4" t="s">
        <v>200</v>
      </c>
    </row>
    <row r="5" spans="1:34" x14ac:dyDescent="0.3">
      <c r="A5" s="119" t="s">
        <v>4</v>
      </c>
      <c r="B5" s="120"/>
      <c r="C5" s="120"/>
      <c r="D5" s="121"/>
      <c r="F5" s="119" t="s">
        <v>5</v>
      </c>
      <c r="G5" s="120"/>
      <c r="H5" s="120"/>
      <c r="I5" s="121"/>
      <c r="Y5" s="91" t="s">
        <v>183</v>
      </c>
      <c r="Z5" s="3">
        <v>6150</v>
      </c>
      <c r="AA5" s="11">
        <v>0.34499999999999997</v>
      </c>
      <c r="AB5" s="11">
        <v>24.75</v>
      </c>
      <c r="AC5" s="11">
        <v>0.8</v>
      </c>
      <c r="AD5" s="95">
        <v>8</v>
      </c>
      <c r="AF5" t="s">
        <v>7</v>
      </c>
      <c r="AG5" t="s">
        <v>12</v>
      </c>
      <c r="AH5" t="s">
        <v>183</v>
      </c>
    </row>
    <row r="6" spans="1:34" x14ac:dyDescent="0.3">
      <c r="A6" s="2" t="s">
        <v>8</v>
      </c>
      <c r="B6" s="3" t="s">
        <v>9</v>
      </c>
      <c r="C6" s="4">
        <v>12.6</v>
      </c>
      <c r="D6" s="5" t="s">
        <v>10</v>
      </c>
      <c r="F6" s="2" t="s">
        <v>11</v>
      </c>
      <c r="G6" s="6"/>
      <c r="H6" s="7" t="str">
        <f>IF(ong="frac","Fractioneel","Topgetuigd")</f>
        <v>Fractioneel</v>
      </c>
      <c r="I6" s="8"/>
      <c r="Y6" s="91" t="s">
        <v>183</v>
      </c>
      <c r="Z6" s="3">
        <v>4910</v>
      </c>
      <c r="AA6" s="11">
        <v>0.26</v>
      </c>
      <c r="AB6" s="11">
        <v>19.625</v>
      </c>
      <c r="AC6" s="11">
        <v>0.7</v>
      </c>
      <c r="AD6" s="95">
        <v>7</v>
      </c>
      <c r="AF6" t="s">
        <v>13</v>
      </c>
      <c r="AH6" t="s">
        <v>184</v>
      </c>
    </row>
    <row r="7" spans="1:34" x14ac:dyDescent="0.3">
      <c r="A7" s="2" t="s">
        <v>14</v>
      </c>
      <c r="B7" s="3" t="s">
        <v>15</v>
      </c>
      <c r="C7" s="4">
        <v>12.2</v>
      </c>
      <c r="D7" s="5" t="s">
        <v>10</v>
      </c>
      <c r="F7" s="2" t="s">
        <v>16</v>
      </c>
      <c r="G7" s="6"/>
      <c r="H7" s="9">
        <f>C6+C9+C10</f>
        <v>15.081999999999999</v>
      </c>
      <c r="I7" s="5" t="s">
        <v>10</v>
      </c>
      <c r="Y7" s="91" t="s">
        <v>183</v>
      </c>
      <c r="Z7" s="3">
        <v>3550</v>
      </c>
      <c r="AA7" s="11">
        <v>0.19399999999999998</v>
      </c>
      <c r="AB7" s="11">
        <v>12.75</v>
      </c>
      <c r="AC7" s="11">
        <v>0.6</v>
      </c>
      <c r="AD7" s="95">
        <v>6</v>
      </c>
    </row>
    <row r="8" spans="1:34" x14ac:dyDescent="0.3">
      <c r="A8" s="2" t="s">
        <v>17</v>
      </c>
      <c r="B8" s="3" t="s">
        <v>18</v>
      </c>
      <c r="C8" s="4">
        <v>3.3</v>
      </c>
      <c r="D8" s="5" t="s">
        <v>10</v>
      </c>
      <c r="F8" s="2" t="s">
        <v>19</v>
      </c>
      <c r="G8" s="6"/>
      <c r="H8" s="9">
        <f>C6+C9-C18</f>
        <v>13.53</v>
      </c>
      <c r="I8" s="5" t="s">
        <v>10</v>
      </c>
      <c r="Y8" s="91" t="s">
        <v>183</v>
      </c>
      <c r="Z8" s="3">
        <v>2440</v>
      </c>
      <c r="AA8" s="11">
        <v>0.13500000000000001</v>
      </c>
      <c r="AB8" s="11">
        <v>9.5</v>
      </c>
      <c r="AC8" s="11">
        <v>0.5</v>
      </c>
      <c r="AD8" s="95">
        <v>5</v>
      </c>
    </row>
    <row r="9" spans="1:34" x14ac:dyDescent="0.3">
      <c r="A9" s="2" t="s">
        <v>20</v>
      </c>
      <c r="B9" s="3" t="s">
        <v>21</v>
      </c>
      <c r="C9" s="10">
        <v>1.53</v>
      </c>
      <c r="D9" s="5" t="s">
        <v>10</v>
      </c>
      <c r="F9" s="2" t="s">
        <v>22</v>
      </c>
      <c r="G9" s="6"/>
      <c r="H9" s="9">
        <f>C7+C10</f>
        <v>13.151999999999999</v>
      </c>
      <c r="I9" s="5" t="s">
        <v>10</v>
      </c>
      <c r="Y9" s="91" t="s">
        <v>182</v>
      </c>
      <c r="Z9" s="23">
        <v>7250</v>
      </c>
      <c r="AA9" s="83">
        <v>0.48799999999999999</v>
      </c>
      <c r="AB9" s="11">
        <v>15.543000000000001</v>
      </c>
      <c r="AC9" s="11">
        <v>1</v>
      </c>
      <c r="AD9" s="95">
        <v>10</v>
      </c>
    </row>
    <row r="10" spans="1:34" x14ac:dyDescent="0.3">
      <c r="A10" s="2" t="s">
        <v>23</v>
      </c>
      <c r="B10" s="3" t="s">
        <v>24</v>
      </c>
      <c r="C10" s="4">
        <v>0.95199999999999996</v>
      </c>
      <c r="D10" s="5" t="s">
        <v>10</v>
      </c>
      <c r="F10" s="2" t="s">
        <v>25</v>
      </c>
      <c r="G10" s="6"/>
      <c r="H10" s="11">
        <f>H7-H9</f>
        <v>1.9299999999999997</v>
      </c>
      <c r="I10" s="5" t="s">
        <v>10</v>
      </c>
      <c r="Y10" s="91" t="s">
        <v>182</v>
      </c>
      <c r="Z10" s="3">
        <v>4640</v>
      </c>
      <c r="AA10" s="11">
        <v>0.312</v>
      </c>
      <c r="AB10" s="11">
        <v>9.9</v>
      </c>
      <c r="AC10" s="11">
        <v>0.8</v>
      </c>
      <c r="AD10" s="95">
        <v>8</v>
      </c>
    </row>
    <row r="11" spans="1:34" ht="15.6" x14ac:dyDescent="0.35">
      <c r="A11" s="2" t="s">
        <v>26</v>
      </c>
      <c r="B11" s="3" t="s">
        <v>27</v>
      </c>
      <c r="C11" s="10">
        <v>3.21</v>
      </c>
      <c r="D11" s="5" t="s">
        <v>10</v>
      </c>
      <c r="F11" s="2" t="s">
        <v>28</v>
      </c>
      <c r="G11" s="6"/>
      <c r="H11" s="9">
        <f>C10+C9+C6*C20*C21</f>
        <v>5.3620000000000001</v>
      </c>
      <c r="I11" s="5" t="s">
        <v>10</v>
      </c>
      <c r="Y11" s="91" t="s">
        <v>182</v>
      </c>
      <c r="Z11" s="3">
        <v>3550</v>
      </c>
      <c r="AA11" s="11">
        <v>0.23899999999999999</v>
      </c>
      <c r="AB11" s="11">
        <v>7.85</v>
      </c>
      <c r="AC11" s="11">
        <v>0.7</v>
      </c>
      <c r="AD11" s="95">
        <v>7</v>
      </c>
    </row>
    <row r="12" spans="1:34" ht="15.6" x14ac:dyDescent="0.35">
      <c r="A12" s="12" t="s">
        <v>29</v>
      </c>
      <c r="B12" s="13" t="s">
        <v>30</v>
      </c>
      <c r="C12" s="14">
        <v>4311</v>
      </c>
      <c r="D12" s="15" t="s">
        <v>31</v>
      </c>
      <c r="F12" s="16" t="s">
        <v>32</v>
      </c>
      <c r="G12" s="3" t="s">
        <v>33</v>
      </c>
      <c r="H12" s="17">
        <f>ATAN(C8/C7)/2/PI()*360</f>
        <v>15.135835503748048</v>
      </c>
      <c r="I12" s="5" t="s">
        <v>34</v>
      </c>
      <c r="Y12" s="91" t="s">
        <v>182</v>
      </c>
      <c r="Z12" s="3">
        <v>2880</v>
      </c>
      <c r="AA12" s="11">
        <v>0.17600000000000002</v>
      </c>
      <c r="AB12" s="11">
        <v>5.0999999999999996</v>
      </c>
      <c r="AC12" s="11">
        <v>0.6</v>
      </c>
      <c r="AD12" s="95">
        <v>6</v>
      </c>
    </row>
    <row r="13" spans="1:34" ht="15.6" x14ac:dyDescent="0.35">
      <c r="A13" s="119" t="s">
        <v>35</v>
      </c>
      <c r="B13" s="120"/>
      <c r="C13" s="120"/>
      <c r="D13" s="121"/>
      <c r="F13" s="18" t="s">
        <v>36</v>
      </c>
      <c r="G13" s="13" t="s">
        <v>37</v>
      </c>
      <c r="H13" s="19">
        <f>ATAN((9.21-3-0.18-0.3-0.15)/(H7-0.25))/2/PI()*360</f>
        <v>20.616981946953917</v>
      </c>
      <c r="I13" s="15" t="s">
        <v>34</v>
      </c>
      <c r="Y13" s="92" t="s">
        <v>182</v>
      </c>
      <c r="Z13" s="13">
        <v>2000</v>
      </c>
      <c r="AA13" s="80">
        <v>0.122</v>
      </c>
      <c r="AB13" s="80">
        <v>3.8</v>
      </c>
      <c r="AC13" s="80">
        <v>0.5</v>
      </c>
      <c r="AD13" s="96">
        <v>5</v>
      </c>
    </row>
    <row r="14" spans="1:34" ht="15.6" x14ac:dyDescent="0.35">
      <c r="A14" s="2" t="s">
        <v>38</v>
      </c>
      <c r="B14" s="3" t="s">
        <v>39</v>
      </c>
      <c r="C14" s="10">
        <v>3600</v>
      </c>
      <c r="D14" s="5" t="s">
        <v>31</v>
      </c>
      <c r="F14" s="119" t="s">
        <v>40</v>
      </c>
      <c r="G14" s="120"/>
      <c r="H14" s="120"/>
      <c r="I14" s="121"/>
      <c r="Y14" s="94" t="s">
        <v>184</v>
      </c>
      <c r="Z14">
        <v>7940</v>
      </c>
      <c r="AA14">
        <v>0.434</v>
      </c>
      <c r="AC14" s="1">
        <f t="shared" ref="AC14:AC20" si="0">AD14/10</f>
        <v>0.83800000000000008</v>
      </c>
      <c r="AD14" s="97">
        <v>8.3800000000000008</v>
      </c>
    </row>
    <row r="15" spans="1:34" x14ac:dyDescent="0.3">
      <c r="A15" s="2" t="s">
        <v>41</v>
      </c>
      <c r="B15" s="3" t="s">
        <v>42</v>
      </c>
      <c r="C15" s="20">
        <f>2156*9.81</f>
        <v>21150.36</v>
      </c>
      <c r="D15" s="5" t="s">
        <v>43</v>
      </c>
      <c r="F15" s="2" t="s">
        <v>44</v>
      </c>
      <c r="G15" s="6"/>
      <c r="H15" s="9">
        <f>C9-C18</f>
        <v>0.93</v>
      </c>
      <c r="I15" s="5" t="s">
        <v>10</v>
      </c>
      <c r="Y15" s="94" t="s">
        <v>184</v>
      </c>
      <c r="Z15">
        <v>6460</v>
      </c>
      <c r="AA15">
        <v>0.34899999999999998</v>
      </c>
      <c r="AC15" s="1">
        <f t="shared" si="0"/>
        <v>0.752</v>
      </c>
      <c r="AD15" s="97">
        <v>7.52</v>
      </c>
    </row>
    <row r="16" spans="1:34" x14ac:dyDescent="0.3">
      <c r="A16" s="12" t="s">
        <v>45</v>
      </c>
      <c r="B16" s="13" t="s">
        <v>46</v>
      </c>
      <c r="C16" s="14">
        <v>3</v>
      </c>
      <c r="D16" s="15" t="s">
        <v>47</v>
      </c>
      <c r="F16" s="12" t="s">
        <v>48</v>
      </c>
      <c r="G16" s="21"/>
      <c r="H16" s="22">
        <f>C9+C10</f>
        <v>2.4820000000000002</v>
      </c>
      <c r="I16" s="15" t="s">
        <v>10</v>
      </c>
      <c r="Y16" s="94" t="s">
        <v>184</v>
      </c>
      <c r="Z16">
        <v>5670</v>
      </c>
      <c r="AA16">
        <v>0.314</v>
      </c>
      <c r="AC16" s="1">
        <f t="shared" si="0"/>
        <v>0.71399999999999997</v>
      </c>
      <c r="AD16" s="97">
        <v>7.14</v>
      </c>
    </row>
    <row r="17" spans="1:30" ht="15.6" x14ac:dyDescent="0.35">
      <c r="A17" s="119" t="s">
        <v>49</v>
      </c>
      <c r="B17" s="120"/>
      <c r="C17" s="120"/>
      <c r="D17" s="121"/>
      <c r="F17" s="119" t="s">
        <v>186</v>
      </c>
      <c r="G17" s="120"/>
      <c r="H17" s="120"/>
      <c r="I17" s="121"/>
      <c r="Y17" s="94" t="s">
        <v>184</v>
      </c>
      <c r="Z17">
        <v>4670</v>
      </c>
      <c r="AA17">
        <v>0.249</v>
      </c>
      <c r="AC17" s="1">
        <f t="shared" si="0"/>
        <v>0.63500000000000001</v>
      </c>
      <c r="AD17" s="97">
        <v>6.35</v>
      </c>
    </row>
    <row r="18" spans="1:30" x14ac:dyDescent="0.3">
      <c r="A18" s="2" t="s">
        <v>50</v>
      </c>
      <c r="B18" s="6"/>
      <c r="C18" s="4">
        <v>0.6</v>
      </c>
      <c r="D18" s="5" t="s">
        <v>10</v>
      </c>
      <c r="F18" s="16" t="s">
        <v>51</v>
      </c>
      <c r="G18" s="3" t="s">
        <v>52</v>
      </c>
      <c r="H18" s="17">
        <f>9.81*C16*(3.4*C11-4.9*C10)</f>
        <v>183.91395599999998</v>
      </c>
      <c r="I18" s="5" t="s">
        <v>43</v>
      </c>
      <c r="Y18" s="94" t="s">
        <v>184</v>
      </c>
      <c r="Z18">
        <v>3720</v>
      </c>
      <c r="AA18">
        <v>0.20200000000000001</v>
      </c>
      <c r="AC18" s="1">
        <f t="shared" si="0"/>
        <v>0.57199999999999995</v>
      </c>
      <c r="AD18" s="97">
        <v>5.72</v>
      </c>
    </row>
    <row r="19" spans="1:30" ht="16.2" thickBot="1" x14ac:dyDescent="0.4">
      <c r="A19" s="2" t="s">
        <v>53</v>
      </c>
      <c r="B19" s="23" t="s">
        <v>54</v>
      </c>
      <c r="C19" s="4">
        <v>1</v>
      </c>
      <c r="D19" s="5" t="s">
        <v>10</v>
      </c>
      <c r="F19" s="24" t="s">
        <v>55</v>
      </c>
      <c r="G19" s="25" t="s">
        <v>56</v>
      </c>
      <c r="H19" s="26">
        <f>C15*C12/C14+H18</f>
        <v>25511.470056000002</v>
      </c>
      <c r="I19" s="27" t="s">
        <v>43</v>
      </c>
      <c r="Y19" s="94" t="s">
        <v>184</v>
      </c>
      <c r="Z19">
        <v>2860</v>
      </c>
      <c r="AA19">
        <v>0.156</v>
      </c>
      <c r="AC19" s="1">
        <f t="shared" si="0"/>
        <v>0.503</v>
      </c>
      <c r="AD19" s="97">
        <v>5.03</v>
      </c>
    </row>
    <row r="20" spans="1:30" ht="16.2" thickBot="1" x14ac:dyDescent="0.4">
      <c r="A20" s="2" t="s">
        <v>57</v>
      </c>
      <c r="B20" s="3" t="s">
        <v>58</v>
      </c>
      <c r="C20" s="29">
        <f>7700/12600</f>
        <v>0.61111111111111116</v>
      </c>
      <c r="D20" s="5" t="s">
        <v>59</v>
      </c>
      <c r="F20"/>
      <c r="Y20" s="94" t="s">
        <v>184</v>
      </c>
      <c r="Z20">
        <v>2130</v>
      </c>
      <c r="AA20">
        <v>0.11799999999999999</v>
      </c>
      <c r="AC20" s="1">
        <f t="shared" si="0"/>
        <v>0.437</v>
      </c>
      <c r="AD20" s="97">
        <v>4.37</v>
      </c>
    </row>
    <row r="21" spans="1:30" ht="16.2" thickBot="1" x14ac:dyDescent="0.4">
      <c r="A21" s="28" t="s">
        <v>60</v>
      </c>
      <c r="B21" s="25" t="s">
        <v>61</v>
      </c>
      <c r="C21" s="29">
        <f>2880/7700</f>
        <v>0.37402597402597404</v>
      </c>
      <c r="D21" s="30" t="s">
        <v>62</v>
      </c>
      <c r="F21"/>
      <c r="I21">
        <f>12.9*90</f>
        <v>1161</v>
      </c>
      <c r="Y21" s="94"/>
      <c r="AC21" s="1"/>
    </row>
    <row r="22" spans="1:30" x14ac:dyDescent="0.3">
      <c r="A22" s="3"/>
      <c r="B22" s="3"/>
      <c r="C22" s="31"/>
      <c r="D22" s="32"/>
      <c r="F22">
        <f>74*20</f>
        <v>1480</v>
      </c>
      <c r="Y22" s="94"/>
      <c r="AC22" s="1"/>
    </row>
    <row r="23" spans="1:30" ht="15" thickBot="1" x14ac:dyDescent="0.35">
      <c r="A23" s="3"/>
      <c r="B23" s="3"/>
      <c r="C23" s="31"/>
      <c r="D23" s="32"/>
      <c r="F23" s="33">
        <f>57.4*40</f>
        <v>2296</v>
      </c>
      <c r="Y23" s="94"/>
      <c r="Z23" s="23"/>
      <c r="AC23" s="1"/>
      <c r="AD23" s="58"/>
    </row>
    <row r="24" spans="1:30" x14ac:dyDescent="0.3">
      <c r="A24" s="134" t="s">
        <v>63</v>
      </c>
      <c r="B24" s="135"/>
      <c r="C24" s="135"/>
      <c r="D24" s="136"/>
      <c r="F24" s="33">
        <f>F23+F22</f>
        <v>3776</v>
      </c>
      <c r="Y24" s="94"/>
      <c r="Z24" s="23"/>
      <c r="AC24" s="1"/>
      <c r="AD24" s="58"/>
    </row>
    <row r="25" spans="1:30" x14ac:dyDescent="0.3">
      <c r="A25" s="137" t="s">
        <v>65</v>
      </c>
      <c r="B25" s="138"/>
      <c r="C25" s="138"/>
      <c r="D25" s="139"/>
      <c r="F25" s="33">
        <f>F24/2</f>
        <v>1888</v>
      </c>
      <c r="G25" t="s">
        <v>244</v>
      </c>
      <c r="L25" s="34"/>
      <c r="Y25" s="94"/>
      <c r="Z25" s="23"/>
      <c r="AC25" s="1"/>
      <c r="AD25" s="58"/>
    </row>
    <row r="26" spans="1:30" x14ac:dyDescent="0.3">
      <c r="A26" s="35" t="s">
        <v>68</v>
      </c>
      <c r="B26" s="36" t="s">
        <v>69</v>
      </c>
      <c r="C26" s="37">
        <f>15*H19/H9</f>
        <v>29096.110921532851</v>
      </c>
      <c r="D26" s="38" t="s">
        <v>70</v>
      </c>
      <c r="F26" s="33">
        <f>F25*9.81</f>
        <v>18521.280000000002</v>
      </c>
      <c r="L26" s="34"/>
    </row>
    <row r="27" spans="1:30" x14ac:dyDescent="0.3">
      <c r="A27" s="39"/>
      <c r="B27" s="23"/>
      <c r="C27" s="40">
        <f>C26/9.81</f>
        <v>2965.9644160583944</v>
      </c>
      <c r="D27" s="5" t="s">
        <v>72</v>
      </c>
      <c r="L27" s="34"/>
    </row>
    <row r="28" spans="1:30" ht="15.6" x14ac:dyDescent="0.35">
      <c r="A28" s="12" t="s">
        <v>75</v>
      </c>
      <c r="B28" s="13" t="s">
        <v>76</v>
      </c>
      <c r="C28" s="22">
        <f>SQRT(C8^2+C7^2)</f>
        <v>12.638433447227547</v>
      </c>
      <c r="D28" s="15" t="s">
        <v>10</v>
      </c>
      <c r="L28" s="34"/>
    </row>
    <row r="29" spans="1:30" x14ac:dyDescent="0.3">
      <c r="A29" s="119" t="s">
        <v>78</v>
      </c>
      <c r="B29" s="120"/>
      <c r="C29" s="120"/>
      <c r="D29" s="121"/>
      <c r="K29" s="1"/>
    </row>
    <row r="30" spans="1:30" x14ac:dyDescent="0.3">
      <c r="A30" s="2" t="s">
        <v>68</v>
      </c>
      <c r="B30" s="23" t="s">
        <v>81</v>
      </c>
      <c r="C30" s="17">
        <f>IF(ong="masthead",C26*SIN(H12/360*2*PI())/SIN(H13/360*2*PI()),2.8*H19/(H7*SIN(H13/360*2*PI())))</f>
        <v>13450.704462803835</v>
      </c>
      <c r="D30" s="5" t="s">
        <v>70</v>
      </c>
      <c r="L30" s="34"/>
    </row>
    <row r="31" spans="1:30" x14ac:dyDescent="0.3">
      <c r="A31" s="2"/>
      <c r="B31" s="23"/>
      <c r="C31" s="40">
        <f>C30/9.81</f>
        <v>1371.1217597149678</v>
      </c>
      <c r="D31" s="5" t="s">
        <v>72</v>
      </c>
      <c r="L31" s="34"/>
    </row>
    <row r="32" spans="1:30" ht="16.2" thickBot="1" x14ac:dyDescent="0.4">
      <c r="A32" s="28" t="s">
        <v>75</v>
      </c>
      <c r="B32" s="41" t="s">
        <v>86</v>
      </c>
      <c r="C32" s="42">
        <f>SQRT((H7-0.2)^2+(9.21-3.3-0.18-0.2)^2)</f>
        <v>15.876234566168389</v>
      </c>
      <c r="D32" s="27" t="s">
        <v>10</v>
      </c>
      <c r="L32" s="34"/>
    </row>
    <row r="33" spans="1:11" x14ac:dyDescent="0.3">
      <c r="A33" s="3"/>
      <c r="B33" s="3"/>
      <c r="C33" s="31"/>
      <c r="D33" s="32"/>
    </row>
    <row r="34" spans="1:11" ht="15" thickBot="1" x14ac:dyDescent="0.35">
      <c r="A34" s="3"/>
      <c r="B34" s="3"/>
      <c r="C34" s="31"/>
      <c r="D34" s="32"/>
    </row>
    <row r="35" spans="1:11" x14ac:dyDescent="0.3">
      <c r="A35" s="131" t="s">
        <v>90</v>
      </c>
      <c r="B35" s="132"/>
      <c r="C35" s="132"/>
      <c r="D35" s="133"/>
      <c r="F35" s="128" t="s">
        <v>64</v>
      </c>
      <c r="G35" s="129"/>
      <c r="H35" s="129"/>
      <c r="I35" s="130"/>
    </row>
    <row r="36" spans="1:11" ht="15.6" x14ac:dyDescent="0.35">
      <c r="A36" s="2" t="s">
        <v>93</v>
      </c>
      <c r="B36" s="6"/>
      <c r="C36" s="4">
        <v>0.47868341140058318</v>
      </c>
      <c r="D36" s="5" t="s">
        <v>67</v>
      </c>
      <c r="F36" s="2" t="s">
        <v>66</v>
      </c>
      <c r="G36" s="6"/>
      <c r="H36" s="4">
        <v>0.61051125294688235</v>
      </c>
      <c r="I36" s="5" t="s">
        <v>67</v>
      </c>
    </row>
    <row r="37" spans="1:11" ht="15.6" x14ac:dyDescent="0.35">
      <c r="A37" s="2" t="s">
        <v>96</v>
      </c>
      <c r="B37" s="3" t="s">
        <v>83</v>
      </c>
      <c r="C37" s="9">
        <f>(C7-C18)*(1-C36)</f>
        <v>6.0472724277532359</v>
      </c>
      <c r="D37" s="5" t="s">
        <v>10</v>
      </c>
      <c r="E37" s="34"/>
      <c r="F37" s="2" t="s">
        <v>71</v>
      </c>
      <c r="G37" s="6"/>
      <c r="H37" s="4">
        <v>0.2839108317011978</v>
      </c>
      <c r="I37" s="5" t="s">
        <v>67</v>
      </c>
    </row>
    <row r="38" spans="1:11" ht="15.6" x14ac:dyDescent="0.35">
      <c r="A38" s="12" t="s">
        <v>99</v>
      </c>
      <c r="B38" s="13" t="s">
        <v>85</v>
      </c>
      <c r="C38" s="22">
        <f>(C7-C18)*C36</f>
        <v>5.5527275722467646</v>
      </c>
      <c r="D38" s="15" t="s">
        <v>10</v>
      </c>
      <c r="E38" s="34"/>
      <c r="F38" s="2" t="s">
        <v>73</v>
      </c>
      <c r="G38" s="6"/>
      <c r="H38" s="4">
        <v>0.79999999949582645</v>
      </c>
      <c r="I38" s="5" t="s">
        <v>74</v>
      </c>
    </row>
    <row r="39" spans="1:11" ht="15.6" x14ac:dyDescent="0.35">
      <c r="A39" s="2" t="s">
        <v>102</v>
      </c>
      <c r="B39" s="6"/>
      <c r="C39" s="4">
        <v>1</v>
      </c>
      <c r="D39" s="5" t="s">
        <v>74</v>
      </c>
      <c r="F39" s="2" t="s">
        <v>77</v>
      </c>
      <c r="G39" s="6"/>
      <c r="H39" s="4">
        <v>1</v>
      </c>
      <c r="I39" s="5" t="s">
        <v>74</v>
      </c>
    </row>
    <row r="40" spans="1:11" ht="15.6" x14ac:dyDescent="0.35">
      <c r="A40" s="18" t="s">
        <v>105</v>
      </c>
      <c r="B40" s="21"/>
      <c r="C40" s="22">
        <f>C39*C19</f>
        <v>1</v>
      </c>
      <c r="D40" s="48" t="s">
        <v>10</v>
      </c>
      <c r="F40" s="2" t="s">
        <v>79</v>
      </c>
      <c r="G40" s="3" t="s">
        <v>80</v>
      </c>
      <c r="H40" s="9">
        <f>(C7-C18)*(1-H36)</f>
        <v>4.5180694658161649</v>
      </c>
      <c r="I40" s="5" t="s">
        <v>10</v>
      </c>
    </row>
    <row r="41" spans="1:11" ht="16.2" x14ac:dyDescent="0.35">
      <c r="A41" s="2" t="s">
        <v>103</v>
      </c>
      <c r="B41" s="45" t="s">
        <v>104</v>
      </c>
      <c r="C41" s="44">
        <f>ATAN((C19-C40)/(C38+opbouw))/2/PI()*360</f>
        <v>0</v>
      </c>
      <c r="D41" s="5" t="s">
        <v>34</v>
      </c>
      <c r="F41" s="16" t="s">
        <v>82</v>
      </c>
      <c r="G41" s="3" t="s">
        <v>83</v>
      </c>
      <c r="H41" s="9">
        <f>(C7-C18)*(H36-H37)</f>
        <v>3.7885648864499406</v>
      </c>
      <c r="I41" s="5" t="s">
        <v>10</v>
      </c>
    </row>
    <row r="42" spans="1:11" ht="16.2" x14ac:dyDescent="0.35">
      <c r="A42" s="2" t="s">
        <v>94</v>
      </c>
      <c r="B42" s="45" t="s">
        <v>111</v>
      </c>
      <c r="C42" s="44">
        <f>ATAN(C40/C37)/2/PI()*360</f>
        <v>9.3896761482279452</v>
      </c>
      <c r="D42" s="5" t="s">
        <v>34</v>
      </c>
      <c r="F42" s="2" t="s">
        <v>84</v>
      </c>
      <c r="G42" s="3" t="s">
        <v>85</v>
      </c>
      <c r="H42" s="9">
        <f>(C7-C18)*H37</f>
        <v>3.2933656477338942</v>
      </c>
      <c r="I42" s="5" t="s">
        <v>10</v>
      </c>
    </row>
    <row r="43" spans="1:11" ht="16.2" x14ac:dyDescent="0.35">
      <c r="A43" s="2" t="s">
        <v>97</v>
      </c>
      <c r="B43" s="45" t="s">
        <v>109</v>
      </c>
      <c r="C43" s="44">
        <f>ATAN(C19/(C38+opbouw))/2/PI()*360</f>
        <v>9.231535372858767</v>
      </c>
      <c r="D43" s="5" t="s">
        <v>34</v>
      </c>
      <c r="F43" s="16" t="s">
        <v>87</v>
      </c>
      <c r="G43" s="6"/>
      <c r="H43" s="9">
        <f>H38*C19</f>
        <v>0.79999999949582645</v>
      </c>
      <c r="I43" s="43" t="s">
        <v>10</v>
      </c>
      <c r="K43" s="34"/>
    </row>
    <row r="44" spans="1:11" x14ac:dyDescent="0.3">
      <c r="A44" s="35" t="s">
        <v>106</v>
      </c>
      <c r="B44" s="36" t="s">
        <v>110</v>
      </c>
      <c r="C44" s="81">
        <f>SQRT(C37^2+C40^2)</f>
        <v>6.129396692617024</v>
      </c>
      <c r="D44" s="61" t="s">
        <v>10</v>
      </c>
      <c r="F44" s="16" t="s">
        <v>88</v>
      </c>
      <c r="G44" s="6"/>
      <c r="H44" s="9">
        <f>H39*C19</f>
        <v>1</v>
      </c>
      <c r="I44" s="43" t="s">
        <v>10</v>
      </c>
    </row>
    <row r="45" spans="1:11" x14ac:dyDescent="0.3">
      <c r="A45" s="2"/>
      <c r="B45" s="23" t="s">
        <v>112</v>
      </c>
      <c r="C45" s="9">
        <f>SQRT((C38+opbouw)^2+(C40-C19)^2)</f>
        <v>6.1527275722467643</v>
      </c>
      <c r="D45" s="43" t="s">
        <v>10</v>
      </c>
      <c r="F45" s="12" t="s">
        <v>89</v>
      </c>
      <c r="G45" s="21"/>
      <c r="H45" s="22">
        <f>H42+H41</f>
        <v>7.0819305341838348</v>
      </c>
      <c r="I45" s="15" t="s">
        <v>10</v>
      </c>
    </row>
    <row r="46" spans="1:11" ht="15.6" x14ac:dyDescent="0.35">
      <c r="A46" s="12"/>
      <c r="B46" s="50" t="s">
        <v>113</v>
      </c>
      <c r="C46" s="22">
        <f>SQRT((C38+opbouw)^2+C19^2)</f>
        <v>6.233462647540736</v>
      </c>
      <c r="D46" s="48" t="s">
        <v>10</v>
      </c>
      <c r="F46" s="2" t="s">
        <v>91</v>
      </c>
      <c r="G46" s="23" t="s">
        <v>92</v>
      </c>
      <c r="H46" s="44">
        <f>ATAN(H43/H40)/2/PI()*360</f>
        <v>10.041103878697658</v>
      </c>
      <c r="I46" s="5" t="s">
        <v>34</v>
      </c>
    </row>
    <row r="47" spans="1:11" ht="15.6" x14ac:dyDescent="0.35">
      <c r="A47" s="2" t="s">
        <v>114</v>
      </c>
      <c r="B47" s="23" t="s">
        <v>115</v>
      </c>
      <c r="C47" s="52" t="s">
        <v>3</v>
      </c>
      <c r="D47" s="43"/>
      <c r="F47" s="2" t="s">
        <v>94</v>
      </c>
      <c r="G47" s="23" t="s">
        <v>95</v>
      </c>
      <c r="H47" s="44">
        <f>ATAN(H44/H41)/2/PI()*360</f>
        <v>14.786116770321206</v>
      </c>
      <c r="I47" s="43" t="s">
        <v>34</v>
      </c>
    </row>
    <row r="48" spans="1:11" ht="16.2" thickBot="1" x14ac:dyDescent="0.4">
      <c r="A48" s="24" t="s">
        <v>116</v>
      </c>
      <c r="B48" s="41" t="s">
        <v>115</v>
      </c>
      <c r="C48" s="53" t="s">
        <v>6</v>
      </c>
      <c r="D48" s="27"/>
      <c r="F48" s="2" t="s">
        <v>97</v>
      </c>
      <c r="G48" s="23" t="s">
        <v>98</v>
      </c>
      <c r="H48" s="44">
        <f>ATAN(C19/(H42+opbouw))/2/PI()*360</f>
        <v>14.404881825603258</v>
      </c>
      <c r="I48" s="5" t="s">
        <v>34</v>
      </c>
    </row>
    <row r="49" spans="1:9" ht="16.2" x14ac:dyDescent="0.35">
      <c r="A49" s="23"/>
      <c r="B49" s="23"/>
      <c r="C49" s="23"/>
      <c r="D49" s="6"/>
      <c r="F49" s="2" t="s">
        <v>100</v>
      </c>
      <c r="G49" s="45" t="s">
        <v>101</v>
      </c>
      <c r="H49" s="44">
        <f>ATAN((H44-H43)/H41)/2/PI()*360</f>
        <v>3.0218642495798904</v>
      </c>
      <c r="I49" s="5" t="s">
        <v>34</v>
      </c>
    </row>
    <row r="50" spans="1:9" ht="16.2" x14ac:dyDescent="0.35">
      <c r="A50" s="23"/>
      <c r="B50" s="6"/>
      <c r="C50" s="9"/>
      <c r="D50" s="54"/>
      <c r="F50" s="12" t="s">
        <v>103</v>
      </c>
      <c r="G50" s="46" t="s">
        <v>104</v>
      </c>
      <c r="H50" s="47">
        <f>ATAN((C19-H44)/(H42+opbouw))/2/PI()*360</f>
        <v>0</v>
      </c>
      <c r="I50" s="15" t="s">
        <v>34</v>
      </c>
    </row>
    <row r="51" spans="1:9" x14ac:dyDescent="0.3">
      <c r="A51"/>
      <c r="F51" s="2" t="s">
        <v>106</v>
      </c>
      <c r="G51" s="3" t="s">
        <v>107</v>
      </c>
      <c r="H51" s="9">
        <f>SQRT(H40^2+H43^2)</f>
        <v>4.588349561349232</v>
      </c>
      <c r="I51" s="43" t="s">
        <v>10</v>
      </c>
    </row>
    <row r="52" spans="1:9" x14ac:dyDescent="0.3">
      <c r="A52"/>
      <c r="F52" s="2"/>
      <c r="G52" s="3" t="s">
        <v>108</v>
      </c>
      <c r="H52" s="9">
        <f>SQRT(H41^2+(H44-H43)^2)</f>
        <v>3.7938402574493195</v>
      </c>
      <c r="I52" s="43" t="s">
        <v>10</v>
      </c>
    </row>
    <row r="53" spans="1:9" x14ac:dyDescent="0.3">
      <c r="A53"/>
      <c r="F53" s="2"/>
      <c r="G53" s="3" t="s">
        <v>110</v>
      </c>
      <c r="H53" s="9">
        <f>SQRT(H41^2+H44^2)</f>
        <v>3.9183190144297146</v>
      </c>
      <c r="I53" s="43" t="s">
        <v>10</v>
      </c>
    </row>
    <row r="54" spans="1:9" x14ac:dyDescent="0.3">
      <c r="A54"/>
      <c r="F54" s="2"/>
      <c r="G54" s="3" t="s">
        <v>112</v>
      </c>
      <c r="H54" s="9">
        <f>SQRT((H42+opbouw)^2+(H44-C19)^2)</f>
        <v>3.8933656477338943</v>
      </c>
      <c r="I54" s="43" t="s">
        <v>10</v>
      </c>
    </row>
    <row r="55" spans="1:9" x14ac:dyDescent="0.3">
      <c r="A55"/>
      <c r="F55" s="12"/>
      <c r="G55" s="13" t="s">
        <v>113</v>
      </c>
      <c r="H55" s="22">
        <f>SQRT((H42+opbouw)^2+C19^2)</f>
        <v>4.0197383082676366</v>
      </c>
      <c r="I55" s="48" t="s">
        <v>10</v>
      </c>
    </row>
    <row r="56" spans="1:9" x14ac:dyDescent="0.3">
      <c r="A56"/>
      <c r="F56" s="35" t="s">
        <v>114</v>
      </c>
      <c r="G56" s="36" t="s">
        <v>115</v>
      </c>
      <c r="H56" s="49" t="s">
        <v>3</v>
      </c>
      <c r="I56" s="38"/>
    </row>
    <row r="57" spans="1:9" ht="15" thickBot="1" x14ac:dyDescent="0.35">
      <c r="A57"/>
      <c r="E57" s="58"/>
      <c r="F57" s="24" t="s">
        <v>116</v>
      </c>
      <c r="G57" s="41" t="s">
        <v>115</v>
      </c>
      <c r="H57" s="51" t="s">
        <v>6</v>
      </c>
      <c r="I57" s="27"/>
    </row>
    <row r="58" spans="1:9" x14ac:dyDescent="0.3">
      <c r="A58"/>
      <c r="I58" s="6"/>
    </row>
    <row r="59" spans="1:9" ht="15" thickBot="1" x14ac:dyDescent="0.35">
      <c r="A59"/>
      <c r="F59" s="25"/>
      <c r="G59" s="72"/>
      <c r="H59" s="72"/>
      <c r="I59" s="72"/>
    </row>
    <row r="60" spans="1:9" x14ac:dyDescent="0.3">
      <c r="A60" s="125" t="s">
        <v>117</v>
      </c>
      <c r="B60" s="126"/>
      <c r="C60" s="126"/>
      <c r="D60" s="127"/>
      <c r="F60" s="116" t="s">
        <v>117</v>
      </c>
      <c r="G60" s="117"/>
      <c r="H60" s="117"/>
      <c r="I60" s="118"/>
    </row>
    <row r="61" spans="1:9" x14ac:dyDescent="0.3">
      <c r="A61" s="2" t="s">
        <v>118</v>
      </c>
      <c r="B61" s="3" t="s">
        <v>120</v>
      </c>
      <c r="C61" s="55">
        <f>H19/H9</f>
        <v>1939.7407281021901</v>
      </c>
      <c r="D61" s="5" t="s">
        <v>70</v>
      </c>
      <c r="F61" s="2" t="s">
        <v>118</v>
      </c>
      <c r="G61" s="3" t="s">
        <v>119</v>
      </c>
      <c r="H61" s="55">
        <f>H19/H9</f>
        <v>1939.7407281021901</v>
      </c>
      <c r="I61" s="5" t="s">
        <v>70</v>
      </c>
    </row>
    <row r="62" spans="1:9" x14ac:dyDescent="0.3">
      <c r="A62" s="39"/>
      <c r="B62" s="3" t="s">
        <v>120</v>
      </c>
      <c r="C62" s="55">
        <f>C61/9.81</f>
        <v>197.73096107055963</v>
      </c>
      <c r="D62" s="5" t="s">
        <v>72</v>
      </c>
      <c r="F62" s="39"/>
      <c r="G62" s="3" t="s">
        <v>119</v>
      </c>
      <c r="H62" s="55">
        <f>H61/9.81</f>
        <v>197.73096107055963</v>
      </c>
      <c r="I62" s="5" t="s">
        <v>72</v>
      </c>
    </row>
    <row r="63" spans="1:9" x14ac:dyDescent="0.3">
      <c r="A63" s="2" t="s">
        <v>122</v>
      </c>
      <c r="B63" s="3" t="s">
        <v>123</v>
      </c>
      <c r="C63" s="55">
        <v>0</v>
      </c>
      <c r="D63" s="5" t="s">
        <v>70</v>
      </c>
      <c r="F63" s="2" t="s">
        <v>121</v>
      </c>
      <c r="G63" s="3" t="s">
        <v>120</v>
      </c>
      <c r="H63" s="55">
        <v>0</v>
      </c>
      <c r="I63" s="5" t="s">
        <v>70</v>
      </c>
    </row>
    <row r="64" spans="1:9" x14ac:dyDescent="0.3">
      <c r="A64" s="56"/>
      <c r="B64" s="13" t="s">
        <v>123</v>
      </c>
      <c r="C64" s="57">
        <v>0</v>
      </c>
      <c r="D64" s="48" t="s">
        <v>72</v>
      </c>
      <c r="F64" s="39"/>
      <c r="G64" s="3" t="s">
        <v>120</v>
      </c>
      <c r="H64" s="55">
        <v>0</v>
      </c>
      <c r="I64" s="43" t="s">
        <v>72</v>
      </c>
    </row>
    <row r="65" spans="1:9" x14ac:dyDescent="0.3">
      <c r="A65" s="2" t="s">
        <v>125</v>
      </c>
      <c r="B65" s="23" t="s">
        <v>110</v>
      </c>
      <c r="C65" s="17">
        <f>C61/SIN(C42/360*2*PI())</f>
        <v>11889.440403364102</v>
      </c>
      <c r="D65" s="5" t="s">
        <v>70</v>
      </c>
      <c r="F65" s="2" t="s">
        <v>124</v>
      </c>
      <c r="G65" s="3" t="s">
        <v>123</v>
      </c>
      <c r="H65" s="55">
        <v>0</v>
      </c>
      <c r="I65" s="5" t="s">
        <v>70</v>
      </c>
    </row>
    <row r="66" spans="1:9" x14ac:dyDescent="0.3">
      <c r="A66" s="2" t="s">
        <v>126</v>
      </c>
      <c r="B66" s="23" t="s">
        <v>112</v>
      </c>
      <c r="C66" s="17">
        <f>C61/TAN(C42/360*2*PI())/COS(C41/360*2*PI())</f>
        <v>11730.140622042361</v>
      </c>
      <c r="D66" s="5" t="s">
        <v>70</v>
      </c>
      <c r="F66" s="56"/>
      <c r="G66" s="13" t="s">
        <v>123</v>
      </c>
      <c r="H66" s="57">
        <v>0</v>
      </c>
      <c r="I66" s="48" t="s">
        <v>72</v>
      </c>
    </row>
    <row r="67" spans="1:9" ht="15" thickBot="1" x14ac:dyDescent="0.35">
      <c r="A67" s="28" t="s">
        <v>128</v>
      </c>
      <c r="B67" s="41" t="s">
        <v>113</v>
      </c>
      <c r="C67" s="26">
        <f>(C63+C61-C66*SIN(C41/360*2*PI()))/SIN(C43/360*2*PI())</f>
        <v>12091.301374538474</v>
      </c>
      <c r="D67" s="27" t="s">
        <v>70</v>
      </c>
      <c r="F67" s="35" t="s">
        <v>125</v>
      </c>
      <c r="G67" s="36" t="s">
        <v>107</v>
      </c>
      <c r="H67" s="37">
        <f>H61/SIN(H46/360*2*PI())</f>
        <v>11125.26065565998</v>
      </c>
      <c r="I67" s="38" t="s">
        <v>70</v>
      </c>
    </row>
    <row r="68" spans="1:9" x14ac:dyDescent="0.3">
      <c r="A68" s="3"/>
      <c r="B68" s="23"/>
      <c r="C68" s="17"/>
      <c r="D68" s="6"/>
      <c r="F68" s="2" t="s">
        <v>127</v>
      </c>
      <c r="G68" s="3" t="s">
        <v>108</v>
      </c>
      <c r="H68" s="17">
        <f>H61/TAN(H46/360*2*PI())/COS(H49/360*2*PI())</f>
        <v>10970.10824090817</v>
      </c>
      <c r="I68" s="5" t="s">
        <v>70</v>
      </c>
    </row>
    <row r="69" spans="1:9" x14ac:dyDescent="0.3">
      <c r="A69"/>
      <c r="F69" s="2" t="s">
        <v>129</v>
      </c>
      <c r="G69" s="3" t="s">
        <v>110</v>
      </c>
      <c r="H69" s="17">
        <f>(H63+H61-H68*SIN(H49/360*2*PI()))/SIN(H48/360*2*PI())</f>
        <v>5472.5890064040477</v>
      </c>
      <c r="I69" s="5" t="s">
        <v>70</v>
      </c>
    </row>
    <row r="70" spans="1:9" x14ac:dyDescent="0.3">
      <c r="A70"/>
      <c r="F70" s="2" t="s">
        <v>126</v>
      </c>
      <c r="G70" s="3" t="s">
        <v>112</v>
      </c>
      <c r="H70" s="17">
        <f>(H63+H61-H68*SIN(H49/360*2*PI()))/COS(H50/360*2*PI())/TAN(H47/360*2*PI())+H68*COS(H50/360*2*PI())/COS(H49/360*2*PI())</f>
        <v>16143.246286878293</v>
      </c>
      <c r="I70" s="5" t="s">
        <v>70</v>
      </c>
    </row>
    <row r="71" spans="1:9" ht="15" thickBot="1" x14ac:dyDescent="0.35">
      <c r="A71"/>
      <c r="F71" s="28" t="s">
        <v>128</v>
      </c>
      <c r="G71" s="25" t="s">
        <v>113</v>
      </c>
      <c r="H71" s="26">
        <f>(H65+H63+H61-H70*SIN(H50/360*2*PI()))/SIN(H48/360*2*PI())</f>
        <v>7797.2501128593331</v>
      </c>
      <c r="I71" s="27" t="s">
        <v>70</v>
      </c>
    </row>
    <row r="72" spans="1:9" x14ac:dyDescent="0.3">
      <c r="A72"/>
      <c r="F72"/>
      <c r="G72" s="6"/>
      <c r="H72" s="9"/>
      <c r="I72" s="6"/>
    </row>
    <row r="73" spans="1:9" ht="15" thickBot="1" x14ac:dyDescent="0.35">
      <c r="A73"/>
      <c r="F73"/>
    </row>
    <row r="74" spans="1:9" x14ac:dyDescent="0.3">
      <c r="A74" s="73" t="s">
        <v>130</v>
      </c>
      <c r="B74" s="74"/>
      <c r="C74" s="74"/>
      <c r="D74" s="75"/>
      <c r="F74" s="113" t="s">
        <v>130</v>
      </c>
      <c r="G74" s="114"/>
      <c r="H74" s="114"/>
      <c r="I74" s="115"/>
    </row>
    <row r="75" spans="1:9" ht="15.6" x14ac:dyDescent="0.35">
      <c r="A75" s="2" t="s">
        <v>131</v>
      </c>
      <c r="B75" s="3" t="s">
        <v>132</v>
      </c>
      <c r="C75" s="55">
        <f>H19/H11</f>
        <v>4757.827313688922</v>
      </c>
      <c r="D75" s="5" t="s">
        <v>70</v>
      </c>
      <c r="F75" s="2" t="s">
        <v>135</v>
      </c>
      <c r="G75" s="6"/>
      <c r="H75" s="6" t="b">
        <f>IF(C81&gt;H45,TRUE,FALSE)</f>
        <v>1</v>
      </c>
      <c r="I75" s="5"/>
    </row>
    <row r="76" spans="1:9" ht="15.6" x14ac:dyDescent="0.35">
      <c r="A76" s="39"/>
      <c r="B76" s="3" t="s">
        <v>132</v>
      </c>
      <c r="C76" s="55">
        <f>C75/9.81</f>
        <v>484.99768743006337</v>
      </c>
      <c r="D76" s="5" t="s">
        <v>72</v>
      </c>
      <c r="F76" s="2" t="s">
        <v>136</v>
      </c>
      <c r="G76" s="6"/>
      <c r="H76" s="6" t="b">
        <f>IF(AND((H75=FALSE),(C81&gt;H42)),TRUE,FALSE)</f>
        <v>0</v>
      </c>
      <c r="I76" s="5"/>
    </row>
    <row r="77" spans="1:9" ht="15.6" x14ac:dyDescent="0.35">
      <c r="A77" s="2" t="s">
        <v>133</v>
      </c>
      <c r="B77" s="3" t="s">
        <v>134</v>
      </c>
      <c r="C77" s="55">
        <f>0.4*C75</f>
        <v>1903.1309254755688</v>
      </c>
      <c r="D77" s="5" t="s">
        <v>70</v>
      </c>
      <c r="F77" s="2" t="s">
        <v>139</v>
      </c>
      <c r="G77" s="6"/>
      <c r="H77" s="6" t="b">
        <f>IF(C81&lt;H42,TRUE,FALSE)</f>
        <v>0</v>
      </c>
      <c r="I77" s="5"/>
    </row>
    <row r="78" spans="1:9" ht="15.6" x14ac:dyDescent="0.35">
      <c r="A78" s="39"/>
      <c r="B78" s="3" t="s">
        <v>134</v>
      </c>
      <c r="C78" s="55">
        <f>C77/9.81</f>
        <v>193.99907497202534</v>
      </c>
      <c r="D78" s="5" t="s">
        <v>72</v>
      </c>
      <c r="F78" s="35" t="s">
        <v>140</v>
      </c>
      <c r="G78" s="59" t="s">
        <v>119</v>
      </c>
      <c r="H78" s="37">
        <f>IF(H75=TRUE,C77*(C81-H45)/H40,0)</f>
        <v>652.08799852903064</v>
      </c>
      <c r="I78" s="38" t="s">
        <v>70</v>
      </c>
    </row>
    <row r="79" spans="1:9" ht="15.6" x14ac:dyDescent="0.35">
      <c r="A79" s="2" t="s">
        <v>137</v>
      </c>
      <c r="B79" s="3" t="s">
        <v>138</v>
      </c>
      <c r="C79" s="55">
        <f>0.33*C75</f>
        <v>1570.0830135173444</v>
      </c>
      <c r="D79" s="5" t="s">
        <v>70</v>
      </c>
      <c r="F79" s="2"/>
      <c r="G79" s="3"/>
      <c r="H79" s="17">
        <f>H78/9.81</f>
        <v>66.471763356679986</v>
      </c>
      <c r="I79" s="5" t="s">
        <v>72</v>
      </c>
    </row>
    <row r="80" spans="1:9" ht="15.6" x14ac:dyDescent="0.35">
      <c r="A80" s="39"/>
      <c r="B80" s="3" t="s">
        <v>138</v>
      </c>
      <c r="C80" s="55">
        <f>C79/9.81</f>
        <v>160.04923685192094</v>
      </c>
      <c r="D80" s="5" t="s">
        <v>72</v>
      </c>
      <c r="F80" s="2" t="s">
        <v>144</v>
      </c>
      <c r="G80" s="3" t="s">
        <v>120</v>
      </c>
      <c r="H80" s="55">
        <f>IF(H75=TRUE,C77-H78,(IF(H77=TRUE,0,C77*(C81-H42)/H41)))</f>
        <v>1251.042926946538</v>
      </c>
      <c r="I80" s="5" t="s">
        <v>70</v>
      </c>
    </row>
    <row r="81" spans="1:9" ht="15.6" x14ac:dyDescent="0.35">
      <c r="A81" s="35" t="s">
        <v>141</v>
      </c>
      <c r="B81" s="36" t="s">
        <v>142</v>
      </c>
      <c r="C81" s="60">
        <f>C6*C20+C9-C18</f>
        <v>8.6300000000000008</v>
      </c>
      <c r="D81" s="61" t="s">
        <v>10</v>
      </c>
      <c r="F81" s="2"/>
      <c r="G81" s="3"/>
      <c r="H81" s="17">
        <f>H80/9.81</f>
        <v>127.52731161534535</v>
      </c>
      <c r="I81" s="5" t="s">
        <v>72</v>
      </c>
    </row>
    <row r="82" spans="1:9" x14ac:dyDescent="0.3">
      <c r="A82" s="2" t="s">
        <v>143</v>
      </c>
      <c r="B82" s="6"/>
      <c r="C82" s="3" t="b">
        <f>IF(C81&gt;C38,TRUE,FALSE)</f>
        <v>1</v>
      </c>
      <c r="D82" s="5"/>
      <c r="F82" s="2" t="s">
        <v>145</v>
      </c>
      <c r="G82" s="3" t="s">
        <v>146</v>
      </c>
      <c r="H82" s="17">
        <f>IF(H76=TRUE,C77-H80,IF(H77=TRUE,C77*C81/H42,0))</f>
        <v>0</v>
      </c>
      <c r="I82" s="5" t="s">
        <v>70</v>
      </c>
    </row>
    <row r="83" spans="1:9" x14ac:dyDescent="0.3">
      <c r="A83" s="2" t="s">
        <v>140</v>
      </c>
      <c r="B83" s="3" t="s">
        <v>120</v>
      </c>
      <c r="C83" s="17">
        <f>IF(C82=TRUE,C77*(C81-C38)/C37,0)</f>
        <v>968.44526079112575</v>
      </c>
      <c r="D83" s="5" t="s">
        <v>70</v>
      </c>
      <c r="F83" s="2"/>
      <c r="G83" s="3"/>
      <c r="H83" s="17">
        <f>H82/9.81</f>
        <v>0</v>
      </c>
      <c r="I83" s="5" t="s">
        <v>72</v>
      </c>
    </row>
    <row r="84" spans="1:9" x14ac:dyDescent="0.3">
      <c r="A84" s="2"/>
      <c r="B84" s="3"/>
      <c r="C84" s="17">
        <f>C83/9.81</f>
        <v>98.720210070451145</v>
      </c>
      <c r="D84" s="5" t="s">
        <v>72</v>
      </c>
      <c r="F84" s="2" t="s">
        <v>148</v>
      </c>
      <c r="G84" s="3" t="s">
        <v>149</v>
      </c>
      <c r="H84" s="17">
        <f>C79*H15/H42</f>
        <v>443.36929413709413</v>
      </c>
      <c r="I84" s="5" t="s">
        <v>70</v>
      </c>
    </row>
    <row r="85" spans="1:9" x14ac:dyDescent="0.3">
      <c r="A85" s="2" t="s">
        <v>147</v>
      </c>
      <c r="B85" s="3" t="s">
        <v>146</v>
      </c>
      <c r="C85" s="17">
        <f>IF(C82=TRUE,C77-C83,C77*C81/C38)</f>
        <v>934.68566468444305</v>
      </c>
      <c r="D85" s="5" t="s">
        <v>70</v>
      </c>
      <c r="F85" s="2"/>
      <c r="G85" s="3"/>
      <c r="H85" s="17">
        <f>H84/9.81</f>
        <v>45.195646701028963</v>
      </c>
      <c r="I85" s="5" t="s">
        <v>72</v>
      </c>
    </row>
    <row r="86" spans="1:9" x14ac:dyDescent="0.3">
      <c r="A86" s="2"/>
      <c r="B86" s="3"/>
      <c r="C86" s="17">
        <f>C85/9.81</f>
        <v>95.27886490157421</v>
      </c>
      <c r="D86" s="5" t="s">
        <v>72</v>
      </c>
      <c r="F86" s="2" t="s">
        <v>151</v>
      </c>
      <c r="G86" s="3" t="s">
        <v>123</v>
      </c>
      <c r="H86" s="17">
        <f>H84+H82</f>
        <v>443.36929413709413</v>
      </c>
      <c r="I86" s="5" t="s">
        <v>70</v>
      </c>
    </row>
    <row r="87" spans="1:9" x14ac:dyDescent="0.3">
      <c r="A87" s="2" t="s">
        <v>150</v>
      </c>
      <c r="B87" s="3" t="s">
        <v>149</v>
      </c>
      <c r="C87" s="55">
        <f>C79*H15/C38</f>
        <v>262.96575576105715</v>
      </c>
      <c r="D87" s="5" t="s">
        <v>70</v>
      </c>
      <c r="F87" s="56"/>
      <c r="G87" s="21"/>
      <c r="H87" s="19">
        <f>H86/9.81</f>
        <v>45.195646701028963</v>
      </c>
      <c r="I87" s="48" t="s">
        <v>72</v>
      </c>
    </row>
    <row r="88" spans="1:9" x14ac:dyDescent="0.3">
      <c r="A88" s="2"/>
      <c r="B88" s="3"/>
      <c r="C88" s="17">
        <f>C87/9.81</f>
        <v>26.805887437416629</v>
      </c>
      <c r="D88" s="5" t="s">
        <v>72</v>
      </c>
      <c r="F88" s="35" t="s">
        <v>125</v>
      </c>
      <c r="G88" s="36" t="s">
        <v>107</v>
      </c>
      <c r="H88" s="37">
        <f>H78/SIN(H46/360*2*PI())</f>
        <v>3740.0096048717373</v>
      </c>
      <c r="I88" s="38" t="s">
        <v>70</v>
      </c>
    </row>
    <row r="89" spans="1:9" x14ac:dyDescent="0.3">
      <c r="A89" s="2" t="s">
        <v>152</v>
      </c>
      <c r="B89" s="3" t="s">
        <v>123</v>
      </c>
      <c r="C89" s="17">
        <f>C85+C87</f>
        <v>1197.6514204455002</v>
      </c>
      <c r="D89" s="5" t="s">
        <v>70</v>
      </c>
      <c r="F89" s="2" t="s">
        <v>127</v>
      </c>
      <c r="G89" s="3" t="s">
        <v>108</v>
      </c>
      <c r="H89" s="17">
        <f>H78/TAN(H46/360*2*PI())/COS(H49/360*2*PI())</f>
        <v>3687.8515890417352</v>
      </c>
      <c r="I89" s="5" t="s">
        <v>70</v>
      </c>
    </row>
    <row r="90" spans="1:9" x14ac:dyDescent="0.3">
      <c r="A90" s="12"/>
      <c r="B90" s="13"/>
      <c r="C90" s="19">
        <f>C89/9.81</f>
        <v>122.08475233899084</v>
      </c>
      <c r="D90" s="15" t="s">
        <v>72</v>
      </c>
      <c r="F90" s="2" t="s">
        <v>129</v>
      </c>
      <c r="G90" s="3" t="s">
        <v>110</v>
      </c>
      <c r="H90" s="17">
        <f>(H80+H78-H89*SIN(H49/360*2*PI()))/SIN(H48/360*2*PI())</f>
        <v>6868.6005414337278</v>
      </c>
      <c r="I90" s="5" t="s">
        <v>70</v>
      </c>
    </row>
    <row r="91" spans="1:9" x14ac:dyDescent="0.3">
      <c r="A91" s="2" t="s">
        <v>125</v>
      </c>
      <c r="B91" s="23" t="s">
        <v>110</v>
      </c>
      <c r="C91" s="17">
        <f>C83/SIN(C42/360*2*PI())</f>
        <v>5935.9851784737575</v>
      </c>
      <c r="D91" s="5" t="s">
        <v>70</v>
      </c>
      <c r="F91" s="2" t="s">
        <v>126</v>
      </c>
      <c r="G91" s="3" t="s">
        <v>112</v>
      </c>
      <c r="H91" s="17">
        <f>(H80+H78-H89*SIN(H49/360*2*PI()))/COS(H50/360*2*PI())/TAN(H47/360*2*PI())+H89*COS(H50/360*2*PI())/COS(H49/360*2*PI())</f>
        <v>10166.576999698178</v>
      </c>
      <c r="I91" s="5" t="s">
        <v>70</v>
      </c>
    </row>
    <row r="92" spans="1:9" ht="15" thickBot="1" x14ac:dyDescent="0.35">
      <c r="A92" s="2" t="s">
        <v>126</v>
      </c>
      <c r="B92" s="23" t="s">
        <v>112</v>
      </c>
      <c r="C92" s="17">
        <f>C83/TAN(C42/360*2*PI())/COS(C41/360*2*PI())</f>
        <v>5856.4523233704667</v>
      </c>
      <c r="D92" s="5" t="s">
        <v>70</v>
      </c>
      <c r="F92" s="28" t="s">
        <v>153</v>
      </c>
      <c r="G92" s="25" t="s">
        <v>113</v>
      </c>
      <c r="H92" s="26">
        <f>(H86+H80+H78-H91*SIN(H50/360*2*PI()))/SIN(H48/360*2*PI())</f>
        <v>9432.3168231354448</v>
      </c>
      <c r="I92" s="27" t="s">
        <v>70</v>
      </c>
    </row>
    <row r="93" spans="1:9" ht="15" thickBot="1" x14ac:dyDescent="0.35">
      <c r="A93" s="28" t="s">
        <v>128</v>
      </c>
      <c r="B93" s="41" t="s">
        <v>113</v>
      </c>
      <c r="C93" s="26">
        <f>(C89+C83-C92*SIN(C41/360*2*PI()))/SIN(C43/360*2*PI())</f>
        <v>13502.282753450463</v>
      </c>
      <c r="D93" s="27" t="s">
        <v>70</v>
      </c>
    </row>
    <row r="94" spans="1:9" x14ac:dyDescent="0.3">
      <c r="A94" s="3"/>
      <c r="B94" s="23"/>
      <c r="C94" s="17"/>
      <c r="D94" s="6"/>
    </row>
    <row r="95" spans="1:9" ht="15" thickBot="1" x14ac:dyDescent="0.35">
      <c r="A95" s="23"/>
      <c r="B95" s="6"/>
      <c r="C95" s="9"/>
      <c r="D95" s="54"/>
    </row>
    <row r="96" spans="1:9" x14ac:dyDescent="0.3">
      <c r="A96" s="113" t="s">
        <v>154</v>
      </c>
      <c r="B96" s="114"/>
      <c r="C96" s="114"/>
      <c r="D96" s="115"/>
      <c r="F96" s="113" t="s">
        <v>156</v>
      </c>
      <c r="G96" s="114"/>
      <c r="H96" s="114"/>
      <c r="I96" s="115"/>
    </row>
    <row r="97" spans="1:9" x14ac:dyDescent="0.3">
      <c r="A97" s="16" t="s">
        <v>155</v>
      </c>
      <c r="B97" s="23" t="s">
        <v>110</v>
      </c>
      <c r="C97" s="17">
        <f>MAX(C91,C65)</f>
        <v>11889.440403364102</v>
      </c>
      <c r="D97" s="43" t="s">
        <v>70</v>
      </c>
      <c r="F97" s="16" t="s">
        <v>155</v>
      </c>
      <c r="G97" s="23" t="s">
        <v>107</v>
      </c>
      <c r="H97" s="62">
        <f>MAX(H88,H67)</f>
        <v>11125.26065565998</v>
      </c>
      <c r="I97" s="63" t="s">
        <v>70</v>
      </c>
    </row>
    <row r="98" spans="1:9" x14ac:dyDescent="0.3">
      <c r="A98" s="16"/>
      <c r="B98" s="23" t="s">
        <v>112</v>
      </c>
      <c r="C98" s="17">
        <f>MAX(C92,C66)</f>
        <v>11730.140622042361</v>
      </c>
      <c r="D98" s="43" t="s">
        <v>70</v>
      </c>
      <c r="F98" s="64"/>
      <c r="G98" s="23" t="s">
        <v>108</v>
      </c>
      <c r="H98" s="62">
        <f>MAX(H89,H68)</f>
        <v>10970.10824090817</v>
      </c>
      <c r="I98" s="63" t="s">
        <v>70</v>
      </c>
    </row>
    <row r="99" spans="1:9" x14ac:dyDescent="0.3">
      <c r="A99" s="39"/>
      <c r="B99" s="23" t="s">
        <v>113</v>
      </c>
      <c r="C99" s="17">
        <f>MAX(C93,C67)</f>
        <v>13502.282753450463</v>
      </c>
      <c r="D99" s="43" t="s">
        <v>70</v>
      </c>
      <c r="F99" s="64"/>
      <c r="G99" s="23" t="s">
        <v>110</v>
      </c>
      <c r="H99" s="62">
        <f>MAX(H90,H69)</f>
        <v>6868.6005414337278</v>
      </c>
      <c r="I99" s="63" t="s">
        <v>70</v>
      </c>
    </row>
    <row r="100" spans="1:9" x14ac:dyDescent="0.3">
      <c r="A100" s="35" t="s">
        <v>68</v>
      </c>
      <c r="B100" s="36" t="s">
        <v>157</v>
      </c>
      <c r="C100" s="37">
        <f>MAX(C97,C98)*3</f>
        <v>35668.321210092305</v>
      </c>
      <c r="D100" s="38" t="s">
        <v>70</v>
      </c>
      <c r="F100" s="64"/>
      <c r="G100" s="23" t="s">
        <v>112</v>
      </c>
      <c r="H100" s="62">
        <f>MAX(H91,H70)</f>
        <v>16143.246286878293</v>
      </c>
      <c r="I100" s="63" t="s">
        <v>70</v>
      </c>
    </row>
    <row r="101" spans="1:9" x14ac:dyDescent="0.3">
      <c r="A101" s="12"/>
      <c r="B101" s="50" t="s">
        <v>113</v>
      </c>
      <c r="C101" s="19">
        <f>IF(C48="single",2.8*C99,2.5*C99)</f>
        <v>37806.391709661293</v>
      </c>
      <c r="D101" s="15" t="s">
        <v>70</v>
      </c>
      <c r="F101" s="64"/>
      <c r="G101" s="23" t="s">
        <v>113</v>
      </c>
      <c r="H101" s="62">
        <f>MAX(H92,H71)</f>
        <v>9432.3168231354448</v>
      </c>
      <c r="I101" s="63" t="s">
        <v>70</v>
      </c>
    </row>
    <row r="102" spans="1:9" x14ac:dyDescent="0.3">
      <c r="A102" s="35" t="s">
        <v>68</v>
      </c>
      <c r="B102" s="36" t="s">
        <v>157</v>
      </c>
      <c r="C102" s="65">
        <f>C100/9.81</f>
        <v>3635.9144964416209</v>
      </c>
      <c r="D102" s="38" t="s">
        <v>72</v>
      </c>
      <c r="F102" s="67" t="s">
        <v>68</v>
      </c>
      <c r="G102" s="36" t="s">
        <v>158</v>
      </c>
      <c r="H102" s="68">
        <f>MAX(3*H97,3*H98)</f>
        <v>33375.781966979943</v>
      </c>
      <c r="I102" s="61" t="s">
        <v>70</v>
      </c>
    </row>
    <row r="103" spans="1:9" ht="15" thickBot="1" x14ac:dyDescent="0.35">
      <c r="A103" s="24"/>
      <c r="B103" s="41" t="s">
        <v>113</v>
      </c>
      <c r="C103" s="66">
        <f>C101/9.81</f>
        <v>3853.8625595985004</v>
      </c>
      <c r="D103" s="27" t="s">
        <v>72</v>
      </c>
      <c r="F103" s="16"/>
      <c r="G103" s="23" t="s">
        <v>110</v>
      </c>
      <c r="H103" s="69">
        <f>2.3*H99</f>
        <v>15797.781245297572</v>
      </c>
      <c r="I103" s="43" t="s">
        <v>70</v>
      </c>
    </row>
    <row r="104" spans="1:9" x14ac:dyDescent="0.3">
      <c r="A104"/>
      <c r="F104" s="16"/>
      <c r="G104" s="23" t="s">
        <v>112</v>
      </c>
      <c r="H104" s="69">
        <f>3.2*H100</f>
        <v>51658.388118010538</v>
      </c>
      <c r="I104" s="43" t="s">
        <v>70</v>
      </c>
    </row>
    <row r="105" spans="1:9" x14ac:dyDescent="0.3">
      <c r="A105"/>
      <c r="F105" s="18"/>
      <c r="G105" s="50" t="s">
        <v>113</v>
      </c>
      <c r="H105" s="70">
        <f>IF(H57="single",2.8*H101,2.5*H101)</f>
        <v>26410.487104779244</v>
      </c>
      <c r="I105" s="48" t="s">
        <v>70</v>
      </c>
    </row>
    <row r="106" spans="1:9" x14ac:dyDescent="0.3">
      <c r="A106"/>
      <c r="F106" s="67" t="s">
        <v>68</v>
      </c>
      <c r="G106" s="36" t="s">
        <v>158</v>
      </c>
      <c r="H106" s="65">
        <f>H102/9.81</f>
        <v>3402.2203839938779</v>
      </c>
      <c r="I106" s="61" t="s">
        <v>72</v>
      </c>
    </row>
    <row r="107" spans="1:9" x14ac:dyDescent="0.3">
      <c r="A107"/>
      <c r="F107" s="16"/>
      <c r="G107" s="23" t="s">
        <v>110</v>
      </c>
      <c r="H107" s="40">
        <f>H103/9.81</f>
        <v>1610.3752543626474</v>
      </c>
      <c r="I107" s="43" t="s">
        <v>72</v>
      </c>
    </row>
    <row r="108" spans="1:9" x14ac:dyDescent="0.3">
      <c r="A108"/>
      <c r="F108" s="16"/>
      <c r="G108" s="23" t="s">
        <v>112</v>
      </c>
      <c r="H108" s="40">
        <f>H104/9.81</f>
        <v>5265.8907357808903</v>
      </c>
      <c r="I108" s="43" t="s">
        <v>72</v>
      </c>
    </row>
    <row r="109" spans="1:9" ht="15" thickBot="1" x14ac:dyDescent="0.35">
      <c r="A109"/>
      <c r="F109" s="24"/>
      <c r="G109" s="41" t="s">
        <v>113</v>
      </c>
      <c r="H109" s="66">
        <f>H105/9.81</f>
        <v>2692.2005203648564</v>
      </c>
      <c r="I109" s="71" t="s">
        <v>72</v>
      </c>
    </row>
    <row r="110" spans="1:9" x14ac:dyDescent="0.3">
      <c r="A110"/>
    </row>
    <row r="111" spans="1:9" ht="15" thickBot="1" x14ac:dyDescent="0.35">
      <c r="A111"/>
      <c r="F111"/>
    </row>
    <row r="112" spans="1:9" x14ac:dyDescent="0.3">
      <c r="A112" s="125" t="s">
        <v>159</v>
      </c>
      <c r="B112" s="126"/>
      <c r="C112" s="126"/>
      <c r="D112" s="127"/>
      <c r="F112" s="125" t="s">
        <v>159</v>
      </c>
      <c r="G112" s="126"/>
      <c r="H112" s="126"/>
      <c r="I112" s="127"/>
    </row>
    <row r="113" spans="1:9" x14ac:dyDescent="0.3">
      <c r="A113" s="2" t="s">
        <v>160</v>
      </c>
      <c r="B113" s="3" t="s">
        <v>161</v>
      </c>
      <c r="C113" s="55">
        <f>1.5*H19/C19</f>
        <v>38267.205084000001</v>
      </c>
      <c r="D113" s="5" t="s">
        <v>70</v>
      </c>
      <c r="E113" s="6"/>
      <c r="F113" s="2" t="s">
        <v>162</v>
      </c>
      <c r="G113" s="3" t="s">
        <v>164</v>
      </c>
      <c r="H113" s="6">
        <f>IF(ong="masthead",2.7*C117,2.6*C117)</f>
        <v>3.5100000000000002</v>
      </c>
      <c r="I113" s="5" t="s">
        <v>47</v>
      </c>
    </row>
    <row r="114" spans="1:9" x14ac:dyDescent="0.3">
      <c r="A114" s="39"/>
      <c r="B114" s="6"/>
      <c r="C114" s="17">
        <f>C113/9.81</f>
        <v>3900.8364000000001</v>
      </c>
      <c r="D114" s="43" t="s">
        <v>72</v>
      </c>
      <c r="E114" s="6"/>
      <c r="F114" s="39"/>
      <c r="G114" s="3" t="s">
        <v>175</v>
      </c>
      <c r="H114" s="6">
        <f>IF(ong="masthead",3.8,3.6)</f>
        <v>3.6</v>
      </c>
      <c r="I114" s="5" t="s">
        <v>47</v>
      </c>
    </row>
    <row r="115" spans="1:9" ht="16.2" x14ac:dyDescent="0.3">
      <c r="A115" s="2" t="s">
        <v>162</v>
      </c>
      <c r="B115" s="3" t="s">
        <v>163</v>
      </c>
      <c r="C115" s="6">
        <f>IF(ong="masthead",3.5,3.35)</f>
        <v>3.35</v>
      </c>
      <c r="D115" s="5" t="s">
        <v>47</v>
      </c>
      <c r="E115" s="6"/>
      <c r="F115" s="39"/>
      <c r="G115" s="3" t="s">
        <v>178</v>
      </c>
      <c r="H115" s="40">
        <f>H114*H40^2*(C113-(H92*COS(H48/360*2*PI())+H90*COS(H47/360*2*PI())))/10000</f>
        <v>165.27342932820838</v>
      </c>
      <c r="I115" s="5" t="s">
        <v>169</v>
      </c>
    </row>
    <row r="116" spans="1:9" ht="16.2" x14ac:dyDescent="0.3">
      <c r="A116" s="2"/>
      <c r="B116" s="3" t="s">
        <v>164</v>
      </c>
      <c r="C116" s="6">
        <f>IF(ong="masthead",2.5*C117,2.4*C117)</f>
        <v>3.24</v>
      </c>
      <c r="D116" s="5" t="s">
        <v>47</v>
      </c>
      <c r="F116" s="39"/>
      <c r="G116" s="3" t="s">
        <v>168</v>
      </c>
      <c r="H116" s="40">
        <f>H114*(H41^2)*(C113-H92*COS(H48/360*2*PI()))/10000</f>
        <v>150.52673472351213</v>
      </c>
      <c r="I116" s="5" t="s">
        <v>169</v>
      </c>
    </row>
    <row r="117" spans="1:9" ht="16.8" thickBot="1" x14ac:dyDescent="0.35">
      <c r="A117" s="2" t="s">
        <v>185</v>
      </c>
      <c r="B117" s="3" t="s">
        <v>165</v>
      </c>
      <c r="C117" s="6">
        <v>1.35</v>
      </c>
      <c r="D117" s="5" t="s">
        <v>166</v>
      </c>
      <c r="F117" s="28"/>
      <c r="G117" s="25" t="s">
        <v>171</v>
      </c>
      <c r="H117" s="66">
        <f>C113*H113*H42^2/10000</f>
        <v>145.68463918631841</v>
      </c>
      <c r="I117" s="27" t="s">
        <v>169</v>
      </c>
    </row>
    <row r="118" spans="1:9" ht="16.2" x14ac:dyDescent="0.3">
      <c r="A118" s="2" t="s">
        <v>167</v>
      </c>
      <c r="B118" s="3" t="s">
        <v>168</v>
      </c>
      <c r="C118" s="40">
        <f>(C117*C115*(C113-C93*COS(C43/360*2*PI()))*C37^2)/10000</f>
        <v>412.46836950683434</v>
      </c>
      <c r="D118" s="5" t="s">
        <v>169</v>
      </c>
      <c r="F118" s="125" t="s">
        <v>172</v>
      </c>
      <c r="G118" s="126"/>
      <c r="H118" s="126"/>
      <c r="I118" s="127"/>
    </row>
    <row r="119" spans="1:9" ht="16.8" thickBot="1" x14ac:dyDescent="0.35">
      <c r="A119" s="28" t="s">
        <v>170</v>
      </c>
      <c r="B119" s="25" t="s">
        <v>171</v>
      </c>
      <c r="C119" s="66">
        <f>C116*C113*C38^2/10000</f>
        <v>382.28256153536432</v>
      </c>
      <c r="D119" s="27" t="s">
        <v>169</v>
      </c>
      <c r="F119" s="2" t="s">
        <v>173</v>
      </c>
      <c r="G119" s="3" t="s">
        <v>174</v>
      </c>
      <c r="H119" s="6">
        <f>IF(ong="masthead",0.9,IF(H56="none",0.95,IF(H56="run &amp; cs",0.9,0.85)))</f>
        <v>0.95</v>
      </c>
      <c r="I119" s="5" t="s">
        <v>47</v>
      </c>
    </row>
    <row r="120" spans="1:9" ht="16.8" thickBot="1" x14ac:dyDescent="0.35">
      <c r="A120" s="125" t="s">
        <v>172</v>
      </c>
      <c r="B120" s="126"/>
      <c r="C120" s="126"/>
      <c r="D120" s="127"/>
      <c r="F120" s="28"/>
      <c r="G120" s="25" t="s">
        <v>179</v>
      </c>
      <c r="H120" s="66">
        <f>H119*C117*C113*(C7-C18)^2/10000</f>
        <v>660.38940364021482</v>
      </c>
      <c r="I120" s="27" t="s">
        <v>169</v>
      </c>
    </row>
    <row r="121" spans="1:9" x14ac:dyDescent="0.3">
      <c r="A121" s="2" t="s">
        <v>173</v>
      </c>
      <c r="B121" s="3" t="s">
        <v>174</v>
      </c>
      <c r="C121" s="6">
        <f>IF(ong="masthead",0.85,IF(C47="none",1,IF(C47="run &amp; cs",0.95,0.8)))</f>
        <v>1</v>
      </c>
      <c r="D121" s="5" t="s">
        <v>47</v>
      </c>
    </row>
    <row r="122" spans="1:9" ht="16.8" thickBot="1" x14ac:dyDescent="0.35">
      <c r="A122" s="28" t="s">
        <v>176</v>
      </c>
      <c r="B122" s="25" t="s">
        <v>177</v>
      </c>
      <c r="C122" s="66">
        <f>C121*C117*C113*(C38+C37)^2/10000</f>
        <v>695.14674067391059</v>
      </c>
      <c r="D122" s="27" t="s">
        <v>169</v>
      </c>
    </row>
    <row r="123" spans="1:9" x14ac:dyDescent="0.3">
      <c r="A123"/>
    </row>
    <row r="124" spans="1:9" ht="15" thickBot="1" x14ac:dyDescent="0.35">
      <c r="A124"/>
    </row>
    <row r="125" spans="1:9" x14ac:dyDescent="0.3">
      <c r="A125" s="122" t="s">
        <v>191</v>
      </c>
      <c r="B125" s="123"/>
      <c r="C125" s="123"/>
      <c r="D125" s="124"/>
      <c r="F125" s="122" t="s">
        <v>191</v>
      </c>
      <c r="G125" s="123"/>
      <c r="H125" s="123"/>
      <c r="I125" s="124"/>
    </row>
    <row r="126" spans="1:9" x14ac:dyDescent="0.3">
      <c r="A126" s="2" t="s">
        <v>68</v>
      </c>
      <c r="B126" s="23" t="s">
        <v>157</v>
      </c>
      <c r="C126" s="69">
        <f>C102</f>
        <v>3635.9144964416209</v>
      </c>
      <c r="D126" s="5" t="s">
        <v>72</v>
      </c>
      <c r="F126" s="2" t="s">
        <v>68</v>
      </c>
      <c r="G126" s="23" t="s">
        <v>158</v>
      </c>
      <c r="H126" s="69">
        <f>H106</f>
        <v>3402.2203839938779</v>
      </c>
      <c r="I126" s="5" t="s">
        <v>72</v>
      </c>
    </row>
    <row r="127" spans="1:9" x14ac:dyDescent="0.3">
      <c r="A127" s="2"/>
      <c r="B127" s="23" t="s">
        <v>113</v>
      </c>
      <c r="C127" s="69">
        <f>C103</f>
        <v>3853.8625595985004</v>
      </c>
      <c r="D127" s="5" t="s">
        <v>72</v>
      </c>
      <c r="F127" s="2"/>
      <c r="G127" s="23" t="s">
        <v>110</v>
      </c>
      <c r="H127" s="69">
        <f t="shared" ref="H127:H129" si="1">H107</f>
        <v>1610.3752543626474</v>
      </c>
      <c r="I127" s="5" t="s">
        <v>72</v>
      </c>
    </row>
    <row r="128" spans="1:9" x14ac:dyDescent="0.3">
      <c r="A128" s="2"/>
      <c r="B128" s="3" t="s">
        <v>69</v>
      </c>
      <c r="C128" s="17">
        <f>C27</f>
        <v>2965.9644160583944</v>
      </c>
      <c r="D128" s="5" t="s">
        <v>72</v>
      </c>
      <c r="F128" s="2"/>
      <c r="G128" s="23" t="s">
        <v>112</v>
      </c>
      <c r="H128" s="69">
        <f t="shared" si="1"/>
        <v>5265.8907357808903</v>
      </c>
      <c r="I128" s="5" t="s">
        <v>72</v>
      </c>
    </row>
    <row r="129" spans="1:9" x14ac:dyDescent="0.3">
      <c r="A129" s="2"/>
      <c r="B129" s="3" t="s">
        <v>81</v>
      </c>
      <c r="C129" s="17">
        <f>C31</f>
        <v>1371.1217597149678</v>
      </c>
      <c r="D129" s="5" t="s">
        <v>72</v>
      </c>
      <c r="F129" s="2"/>
      <c r="G129" s="23" t="s">
        <v>113</v>
      </c>
      <c r="H129" s="69">
        <f t="shared" si="1"/>
        <v>2692.2005203648564</v>
      </c>
      <c r="I129" s="5" t="s">
        <v>72</v>
      </c>
    </row>
    <row r="130" spans="1:9" x14ac:dyDescent="0.3">
      <c r="A130" s="35" t="s">
        <v>194</v>
      </c>
      <c r="B130" s="59" t="s">
        <v>115</v>
      </c>
      <c r="C130" s="84" t="s">
        <v>200</v>
      </c>
      <c r="D130" s="38"/>
      <c r="F130" s="2"/>
      <c r="G130" s="3" t="s">
        <v>69</v>
      </c>
      <c r="H130" s="17">
        <f>C128</f>
        <v>2965.9644160583944</v>
      </c>
      <c r="I130" s="5" t="s">
        <v>72</v>
      </c>
    </row>
    <row r="131" spans="1:9" x14ac:dyDescent="0.3">
      <c r="A131" s="2" t="s">
        <v>195</v>
      </c>
      <c r="B131" s="23" t="s">
        <v>157</v>
      </c>
      <c r="C131" s="98">
        <f ca="1">INDEX(INDIRECT($C$130),MATCH(C126,INDIRECT(CONCATENATE("i",$C$130)),-1),5)</f>
        <v>8</v>
      </c>
      <c r="D131" s="5" t="s">
        <v>196</v>
      </c>
      <c r="F131" s="2"/>
      <c r="G131" s="3" t="s">
        <v>81</v>
      </c>
      <c r="H131" s="17">
        <f>C129</f>
        <v>1371.1217597149678</v>
      </c>
      <c r="I131" s="5" t="s">
        <v>72</v>
      </c>
    </row>
    <row r="132" spans="1:9" x14ac:dyDescent="0.3">
      <c r="A132" s="2"/>
      <c r="B132" s="23" t="s">
        <v>113</v>
      </c>
      <c r="C132" s="98">
        <f t="shared" ref="C132:C134" ca="1" si="2">INDEX(INDIRECT($C$130),MATCH(C127,INDIRECT(CONCATENATE("i",$C$130)),-1),5)</f>
        <v>8</v>
      </c>
      <c r="D132" s="5" t="s">
        <v>196</v>
      </c>
      <c r="F132" s="35" t="s">
        <v>194</v>
      </c>
      <c r="G132" s="59" t="s">
        <v>115</v>
      </c>
      <c r="H132" s="84" t="s">
        <v>200</v>
      </c>
      <c r="I132" s="38"/>
    </row>
    <row r="133" spans="1:9" x14ac:dyDescent="0.3">
      <c r="A133" s="2"/>
      <c r="B133" s="3" t="s">
        <v>69</v>
      </c>
      <c r="C133" s="98">
        <f t="shared" ca="1" si="2"/>
        <v>7</v>
      </c>
      <c r="D133" s="5" t="s">
        <v>196</v>
      </c>
      <c r="F133" s="2" t="s">
        <v>195</v>
      </c>
      <c r="G133" s="23" t="s">
        <v>158</v>
      </c>
      <c r="H133" s="98">
        <f ca="1">INDEX(INDIRECT($H$132),MATCH(H126,INDIRECT(CONCATENATE("i",$H$132)),-1),5)</f>
        <v>7</v>
      </c>
      <c r="I133" s="5" t="s">
        <v>196</v>
      </c>
    </row>
    <row r="134" spans="1:9" x14ac:dyDescent="0.3">
      <c r="A134" s="12"/>
      <c r="B134" s="13" t="s">
        <v>81</v>
      </c>
      <c r="C134" s="99">
        <f t="shared" ca="1" si="2"/>
        <v>5</v>
      </c>
      <c r="D134" s="15" t="s">
        <v>196</v>
      </c>
      <c r="F134" s="2"/>
      <c r="G134" s="23" t="s">
        <v>110</v>
      </c>
      <c r="H134" s="98">
        <f t="shared" ref="H134:H138" ca="1" si="3">INDEX(INDIRECT($H$132),MATCH(H127,INDIRECT(CONCATENATE("i",$H$132)),-1),5)</f>
        <v>5</v>
      </c>
      <c r="I134" s="5" t="s">
        <v>196</v>
      </c>
    </row>
    <row r="135" spans="1:9" x14ac:dyDescent="0.3">
      <c r="A135" s="35" t="s">
        <v>197</v>
      </c>
      <c r="B135" s="36" t="s">
        <v>157</v>
      </c>
      <c r="C135" s="9">
        <f ca="1">INDEX(INDIRECT($C$130),MATCH(C126,INDIRECT(CONCATENATE("i",$C$130)),-1),2)</f>
        <v>0.312</v>
      </c>
      <c r="D135" s="38" t="s">
        <v>180</v>
      </c>
      <c r="F135" s="2"/>
      <c r="G135" s="23" t="s">
        <v>112</v>
      </c>
      <c r="H135" s="98">
        <f t="shared" ca="1" si="3"/>
        <v>10</v>
      </c>
      <c r="I135" s="5" t="s">
        <v>196</v>
      </c>
    </row>
    <row r="136" spans="1:9" x14ac:dyDescent="0.3">
      <c r="A136" s="2"/>
      <c r="B136" s="23" t="s">
        <v>113</v>
      </c>
      <c r="C136" s="9">
        <f t="shared" ref="C136:C138" ca="1" si="4">INDEX(INDIRECT($C$130),MATCH(C127,INDIRECT(CONCATENATE("i",$C$130)),-1),2)</f>
        <v>0.312</v>
      </c>
      <c r="D136" s="5" t="s">
        <v>180</v>
      </c>
      <c r="F136" s="2"/>
      <c r="G136" s="23" t="s">
        <v>113</v>
      </c>
      <c r="H136" s="98">
        <f t="shared" ca="1" si="3"/>
        <v>6</v>
      </c>
      <c r="I136" s="5" t="s">
        <v>196</v>
      </c>
    </row>
    <row r="137" spans="1:9" x14ac:dyDescent="0.3">
      <c r="A137" s="2"/>
      <c r="B137" s="3" t="s">
        <v>69</v>
      </c>
      <c r="C137" s="9">
        <f t="shared" ca="1" si="4"/>
        <v>0.23899999999999999</v>
      </c>
      <c r="D137" s="5" t="s">
        <v>180</v>
      </c>
      <c r="F137" s="2"/>
      <c r="G137" s="3" t="s">
        <v>69</v>
      </c>
      <c r="H137" s="98">
        <f t="shared" ca="1" si="3"/>
        <v>7</v>
      </c>
      <c r="I137" s="5" t="s">
        <v>196</v>
      </c>
    </row>
    <row r="138" spans="1:9" x14ac:dyDescent="0.3">
      <c r="A138" s="12"/>
      <c r="B138" s="13" t="s">
        <v>81</v>
      </c>
      <c r="C138" s="22">
        <f t="shared" ca="1" si="4"/>
        <v>0.122</v>
      </c>
      <c r="D138" s="15" t="s">
        <v>180</v>
      </c>
      <c r="F138" s="2"/>
      <c r="G138" s="3" t="s">
        <v>81</v>
      </c>
      <c r="H138" s="98">
        <f t="shared" ca="1" si="3"/>
        <v>5</v>
      </c>
      <c r="I138" s="5" t="s">
        <v>196</v>
      </c>
    </row>
    <row r="139" spans="1:9" x14ac:dyDescent="0.3">
      <c r="A139" s="35" t="s">
        <v>201</v>
      </c>
      <c r="B139" s="36" t="s">
        <v>157</v>
      </c>
      <c r="C139" s="9">
        <f ca="1">INDEX(INDIRECT($C$130),MATCH(C126,INDIRECT(CONCATENATE("i",$C$130)),-1),3)</f>
        <v>9.9</v>
      </c>
      <c r="D139" s="38" t="s">
        <v>202</v>
      </c>
      <c r="F139" s="35" t="s">
        <v>197</v>
      </c>
      <c r="G139" s="36" t="s">
        <v>158</v>
      </c>
      <c r="H139" s="93">
        <f ca="1">INDEX(INDIRECT($H$132),MATCH(H126,INDIRECT(CONCATENATE("i",$H$132)),-1),2)</f>
        <v>0.23899999999999999</v>
      </c>
      <c r="I139" s="38" t="s">
        <v>180</v>
      </c>
    </row>
    <row r="140" spans="1:9" x14ac:dyDescent="0.3">
      <c r="A140" s="2"/>
      <c r="B140" s="23" t="s">
        <v>113</v>
      </c>
      <c r="C140" s="9">
        <f t="shared" ref="C140:C142" ca="1" si="5">INDEX(INDIRECT($C$130),MATCH(C127,INDIRECT(CONCATENATE("i",$C$130)),-1),3)</f>
        <v>9.9</v>
      </c>
      <c r="D140" s="5" t="s">
        <v>202</v>
      </c>
      <c r="F140" s="2"/>
      <c r="G140" s="23" t="s">
        <v>110</v>
      </c>
      <c r="H140" s="31">
        <f t="shared" ref="H140:H144" ca="1" si="6">INDEX(INDIRECT($H$132),MATCH(H127,INDIRECT(CONCATENATE("i",$H$132)),-1),2)</f>
        <v>0.122</v>
      </c>
      <c r="I140" s="5" t="s">
        <v>180</v>
      </c>
    </row>
    <row r="141" spans="1:9" x14ac:dyDescent="0.3">
      <c r="A141" s="2"/>
      <c r="B141" s="3" t="s">
        <v>69</v>
      </c>
      <c r="C141" s="9">
        <f t="shared" ca="1" si="5"/>
        <v>7.85</v>
      </c>
      <c r="D141" s="5" t="s">
        <v>202</v>
      </c>
      <c r="F141" s="2"/>
      <c r="G141" s="23" t="s">
        <v>112</v>
      </c>
      <c r="H141" s="31">
        <f t="shared" ca="1" si="6"/>
        <v>0.48799999999999999</v>
      </c>
      <c r="I141" s="5" t="s">
        <v>180</v>
      </c>
    </row>
    <row r="142" spans="1:9" x14ac:dyDescent="0.3">
      <c r="A142" s="12"/>
      <c r="B142" s="13" t="s">
        <v>81</v>
      </c>
      <c r="C142" s="22">
        <f t="shared" ca="1" si="5"/>
        <v>3.8</v>
      </c>
      <c r="D142" s="15" t="s">
        <v>202</v>
      </c>
      <c r="F142" s="2"/>
      <c r="G142" s="23" t="s">
        <v>113</v>
      </c>
      <c r="H142" s="31">
        <f t="shared" ca="1" si="6"/>
        <v>0.17600000000000002</v>
      </c>
      <c r="I142" s="5" t="s">
        <v>180</v>
      </c>
    </row>
    <row r="143" spans="1:9" ht="16.2" x14ac:dyDescent="0.3">
      <c r="A143" s="2" t="s">
        <v>198</v>
      </c>
      <c r="B143" s="23" t="s">
        <v>157</v>
      </c>
      <c r="C143" s="44">
        <f ca="1">INDEX(INDIRECT($C$130),MATCH(C126,INDIRECT(CONCATENATE("i",$C$130)),-1),4)</f>
        <v>0.8</v>
      </c>
      <c r="D143" s="43" t="s">
        <v>199</v>
      </c>
      <c r="F143" s="2"/>
      <c r="G143" s="3" t="s">
        <v>69</v>
      </c>
      <c r="H143" s="31">
        <f t="shared" ca="1" si="6"/>
        <v>0.23899999999999999</v>
      </c>
      <c r="I143" s="5" t="s">
        <v>180</v>
      </c>
    </row>
    <row r="144" spans="1:9" ht="16.2" x14ac:dyDescent="0.3">
      <c r="A144" s="2"/>
      <c r="B144" s="23" t="s">
        <v>113</v>
      </c>
      <c r="C144" s="44">
        <f t="shared" ref="C144:C146" ca="1" si="7">INDEX(INDIRECT($C$130),MATCH(C127,INDIRECT(CONCATENATE("i",$C$130)),-1),4)</f>
        <v>0.8</v>
      </c>
      <c r="D144" s="43" t="s">
        <v>199</v>
      </c>
      <c r="F144" s="2"/>
      <c r="G144" s="3" t="s">
        <v>81</v>
      </c>
      <c r="H144" s="31">
        <f t="shared" ca="1" si="6"/>
        <v>0.122</v>
      </c>
      <c r="I144" s="5" t="s">
        <v>180</v>
      </c>
    </row>
    <row r="145" spans="1:9" ht="16.2" x14ac:dyDescent="0.3">
      <c r="A145" s="2"/>
      <c r="B145" s="3" t="s">
        <v>69</v>
      </c>
      <c r="C145" s="44">
        <f t="shared" ca="1" si="7"/>
        <v>0.7</v>
      </c>
      <c r="D145" s="43" t="s">
        <v>199</v>
      </c>
      <c r="F145" s="35" t="s">
        <v>201</v>
      </c>
      <c r="G145" s="36" t="s">
        <v>158</v>
      </c>
      <c r="H145" s="81">
        <f ca="1">INDEX(INDIRECT($H$132),MATCH(H126,INDIRECT(CONCATENATE("i",$H$132)),-1),3)</f>
        <v>7.85</v>
      </c>
      <c r="I145" s="38" t="s">
        <v>202</v>
      </c>
    </row>
    <row r="146" spans="1:9" ht="16.2" x14ac:dyDescent="0.3">
      <c r="A146" s="2"/>
      <c r="B146" s="13" t="s">
        <v>81</v>
      </c>
      <c r="C146" s="44">
        <f t="shared" ca="1" si="7"/>
        <v>0.5</v>
      </c>
      <c r="D146" s="43" t="s">
        <v>199</v>
      </c>
      <c r="F146" s="2"/>
      <c r="G146" s="23" t="s">
        <v>110</v>
      </c>
      <c r="H146" s="9">
        <f t="shared" ref="H146:H150" ca="1" si="8">INDEX(INDIRECT($H$132),MATCH(H127,INDIRECT(CONCATENATE("i",$H$132)),-1),3)</f>
        <v>3.8</v>
      </c>
      <c r="I146" s="5" t="s">
        <v>202</v>
      </c>
    </row>
    <row r="147" spans="1:9" x14ac:dyDescent="0.3">
      <c r="A147" s="35" t="s">
        <v>187</v>
      </c>
      <c r="B147" s="59" t="s">
        <v>157</v>
      </c>
      <c r="C147" s="82">
        <f>2*(C44+C45)</f>
        <v>24.564248529727578</v>
      </c>
      <c r="D147" s="38" t="s">
        <v>10</v>
      </c>
      <c r="F147" s="2"/>
      <c r="G147" s="23" t="s">
        <v>112</v>
      </c>
      <c r="H147" s="9">
        <f t="shared" ca="1" si="8"/>
        <v>15.543000000000001</v>
      </c>
      <c r="I147" s="5" t="s">
        <v>202</v>
      </c>
    </row>
    <row r="148" spans="1:9" x14ac:dyDescent="0.3">
      <c r="A148" s="2"/>
      <c r="B148" s="3" t="s">
        <v>113</v>
      </c>
      <c r="C148" s="78">
        <f>IF(C48="double",4*C46,2*C46)</f>
        <v>12.466925295081472</v>
      </c>
      <c r="D148" s="5" t="s">
        <v>10</v>
      </c>
      <c r="F148" s="2"/>
      <c r="G148" s="23" t="s">
        <v>113</v>
      </c>
      <c r="H148" s="9">
        <f t="shared" ca="1" si="8"/>
        <v>5.0999999999999996</v>
      </c>
      <c r="I148" s="5" t="s">
        <v>202</v>
      </c>
    </row>
    <row r="149" spans="1:9" x14ac:dyDescent="0.3">
      <c r="A149" s="2"/>
      <c r="B149" s="3" t="s">
        <v>69</v>
      </c>
      <c r="C149" s="78">
        <f>C28</f>
        <v>12.638433447227547</v>
      </c>
      <c r="D149" s="5" t="s">
        <v>10</v>
      </c>
      <c r="F149" s="2"/>
      <c r="G149" s="3" t="s">
        <v>69</v>
      </c>
      <c r="H149" s="9">
        <f t="shared" ca="1" si="8"/>
        <v>7.85</v>
      </c>
      <c r="I149" s="5" t="s">
        <v>202</v>
      </c>
    </row>
    <row r="150" spans="1:9" x14ac:dyDescent="0.3">
      <c r="A150" s="12"/>
      <c r="B150" s="13" t="s">
        <v>81</v>
      </c>
      <c r="C150" s="79">
        <f>C32</f>
        <v>15.876234566168389</v>
      </c>
      <c r="D150" s="15" t="s">
        <v>10</v>
      </c>
      <c r="E150" s="6"/>
      <c r="F150" s="2"/>
      <c r="G150" s="3" t="s">
        <v>81</v>
      </c>
      <c r="H150" s="9">
        <f t="shared" ca="1" si="8"/>
        <v>3.8</v>
      </c>
      <c r="I150" s="5" t="s">
        <v>202</v>
      </c>
    </row>
    <row r="151" spans="1:9" ht="16.2" x14ac:dyDescent="0.3">
      <c r="A151" s="35" t="s">
        <v>188</v>
      </c>
      <c r="B151" s="59"/>
      <c r="C151" s="86">
        <f ca="1">SUMPRODUCT(C135:C138,C147:C150)</f>
        <v>16.511212444300348</v>
      </c>
      <c r="D151" s="38" t="s">
        <v>31</v>
      </c>
      <c r="F151" s="35" t="s">
        <v>198</v>
      </c>
      <c r="G151" s="36" t="s">
        <v>158</v>
      </c>
      <c r="H151" s="85">
        <f ca="1">INDEX(INDIRECT($H$132),MATCH(H126,INDIRECT(CONCATENATE("i",$H$132)),-1),4)</f>
        <v>0.7</v>
      </c>
      <c r="I151" s="61" t="s">
        <v>199</v>
      </c>
    </row>
    <row r="152" spans="1:9" ht="16.2" x14ac:dyDescent="0.3">
      <c r="A152" s="2" t="s">
        <v>189</v>
      </c>
      <c r="B152" s="6"/>
      <c r="C152" s="87">
        <f ca="1">SUMPRODUCT(C139:C142,C147:C150)</f>
        <v>526.15001477778571</v>
      </c>
      <c r="D152" s="43" t="s">
        <v>190</v>
      </c>
      <c r="F152" s="2"/>
      <c r="G152" s="23" t="s">
        <v>110</v>
      </c>
      <c r="H152" s="44">
        <f t="shared" ref="H152:H156" ca="1" si="9">INDEX(INDIRECT($H$132),MATCH(H127,INDIRECT(CONCATENATE("i",$H$132)),-1),4)</f>
        <v>0.5</v>
      </c>
      <c r="I152" s="43" t="s">
        <v>199</v>
      </c>
    </row>
    <row r="153" spans="1:9" ht="16.8" thickBot="1" x14ac:dyDescent="0.35">
      <c r="A153" s="28" t="s">
        <v>193</v>
      </c>
      <c r="B153" s="25"/>
      <c r="C153" s="88">
        <f ca="1">SUMPRODUCT(C143:C146,C147:C150)/100</f>
        <v>0.46409959755990721</v>
      </c>
      <c r="D153" s="71" t="s">
        <v>203</v>
      </c>
      <c r="F153" s="2"/>
      <c r="G153" s="23" t="s">
        <v>112</v>
      </c>
      <c r="H153" s="44">
        <f t="shared" ca="1" si="9"/>
        <v>1</v>
      </c>
      <c r="I153" s="43" t="s">
        <v>199</v>
      </c>
    </row>
    <row r="154" spans="1:9" ht="16.2" x14ac:dyDescent="0.3">
      <c r="B154" s="3"/>
      <c r="C154" s="6"/>
      <c r="D154" s="6"/>
      <c r="F154" s="2"/>
      <c r="G154" s="23" t="s">
        <v>113</v>
      </c>
      <c r="H154" s="44">
        <f t="shared" ca="1" si="9"/>
        <v>0.6</v>
      </c>
      <c r="I154" s="43" t="s">
        <v>199</v>
      </c>
    </row>
    <row r="155" spans="1:9" ht="16.2" x14ac:dyDescent="0.3">
      <c r="F155" s="2"/>
      <c r="G155" s="3" t="s">
        <v>69</v>
      </c>
      <c r="H155" s="44">
        <f t="shared" ca="1" si="9"/>
        <v>0.7</v>
      </c>
      <c r="I155" s="43" t="s">
        <v>199</v>
      </c>
    </row>
    <row r="156" spans="1:9" ht="16.2" x14ac:dyDescent="0.3">
      <c r="A156"/>
      <c r="F156" s="12"/>
      <c r="G156" s="13" t="s">
        <v>81</v>
      </c>
      <c r="H156" s="47">
        <f t="shared" ca="1" si="9"/>
        <v>0.5</v>
      </c>
      <c r="I156" s="48" t="s">
        <v>199</v>
      </c>
    </row>
    <row r="157" spans="1:9" x14ac:dyDescent="0.3">
      <c r="A157"/>
      <c r="F157" s="2" t="s">
        <v>187</v>
      </c>
      <c r="G157" s="23" t="s">
        <v>158</v>
      </c>
      <c r="H157" s="78">
        <f>2*(H51+H52)</f>
        <v>16.764379637597102</v>
      </c>
      <c r="I157" s="5" t="s">
        <v>10</v>
      </c>
    </row>
    <row r="158" spans="1:9" x14ac:dyDescent="0.3">
      <c r="A158"/>
      <c r="F158" s="2"/>
      <c r="G158" s="23" t="s">
        <v>110</v>
      </c>
      <c r="H158" s="78">
        <f>H53*2</f>
        <v>7.8366380288594293</v>
      </c>
      <c r="I158" s="5" t="s">
        <v>10</v>
      </c>
    </row>
    <row r="159" spans="1:9" x14ac:dyDescent="0.3">
      <c r="A159"/>
      <c r="F159" s="2"/>
      <c r="G159" s="23" t="s">
        <v>112</v>
      </c>
      <c r="H159" s="78">
        <f>H54*2</f>
        <v>7.7867312954677885</v>
      </c>
      <c r="I159" s="5" t="s">
        <v>10</v>
      </c>
    </row>
    <row r="160" spans="1:9" x14ac:dyDescent="0.3">
      <c r="A160"/>
      <c r="F160" s="2"/>
      <c r="G160" s="23" t="s">
        <v>113</v>
      </c>
      <c r="H160" s="78">
        <f>IF(H57="double",4*H55,2*H55)</f>
        <v>8.0394766165352731</v>
      </c>
      <c r="I160" s="5" t="s">
        <v>10</v>
      </c>
    </row>
    <row r="161" spans="1:9" x14ac:dyDescent="0.3">
      <c r="A161"/>
      <c r="F161" s="2"/>
      <c r="G161" s="3" t="s">
        <v>69</v>
      </c>
      <c r="H161" s="78">
        <f>C149</f>
        <v>12.638433447227547</v>
      </c>
      <c r="I161" s="5" t="s">
        <v>10</v>
      </c>
    </row>
    <row r="162" spans="1:9" x14ac:dyDescent="0.3">
      <c r="A162"/>
      <c r="E162" s="6"/>
      <c r="F162" s="12"/>
      <c r="G162" s="13" t="s">
        <v>81</v>
      </c>
      <c r="H162" s="79">
        <f>C150</f>
        <v>15.876234566168389</v>
      </c>
      <c r="I162" s="15" t="s">
        <v>10</v>
      </c>
    </row>
    <row r="163" spans="1:9" x14ac:dyDescent="0.3">
      <c r="A163"/>
      <c r="E163" s="6"/>
      <c r="F163" s="35" t="s">
        <v>188</v>
      </c>
      <c r="G163" s="59"/>
      <c r="H163" s="86">
        <f ca="1">SUMPRODUCT(H157:H162,H139:H144)</f>
        <v>15.135115540564973</v>
      </c>
      <c r="I163" s="38" t="s">
        <v>31</v>
      </c>
    </row>
    <row r="164" spans="1:9" x14ac:dyDescent="0.3">
      <c r="A164"/>
      <c r="E164" s="6"/>
      <c r="F164" s="2" t="s">
        <v>189</v>
      </c>
      <c r="G164" s="6"/>
      <c r="H164" s="87">
        <f ca="1">SUMPRODUCT(H157:H162,H145:H150)</f>
        <v>482.95149384676489</v>
      </c>
      <c r="I164" s="43" t="s">
        <v>190</v>
      </c>
    </row>
    <row r="165" spans="1:9" ht="16.8" thickBot="1" x14ac:dyDescent="0.35">
      <c r="A165"/>
      <c r="E165" s="6"/>
      <c r="F165" s="28" t="s">
        <v>193</v>
      </c>
      <c r="G165" s="25"/>
      <c r="H165" s="88">
        <f ca="1">SUMPRODUCT(H157:H162,H151:H156)/100</f>
        <v>0.45048822722280113</v>
      </c>
      <c r="I165" s="71" t="s">
        <v>203</v>
      </c>
    </row>
    <row r="166" spans="1:9" x14ac:dyDescent="0.3">
      <c r="A166"/>
      <c r="E166" s="6"/>
    </row>
    <row r="167" spans="1:9" x14ac:dyDescent="0.3">
      <c r="A167"/>
      <c r="E167" s="6"/>
    </row>
    <row r="168" spans="1:9" x14ac:dyDescent="0.3">
      <c r="A168"/>
      <c r="E168" s="6"/>
    </row>
    <row r="169" spans="1:9" x14ac:dyDescent="0.3">
      <c r="A169"/>
      <c r="E169" s="76"/>
    </row>
    <row r="170" spans="1:9" x14ac:dyDescent="0.3">
      <c r="A170"/>
      <c r="E170" s="77"/>
    </row>
    <row r="171" spans="1:9" x14ac:dyDescent="0.3">
      <c r="A171"/>
      <c r="E171" s="77"/>
    </row>
    <row r="172" spans="1:9" x14ac:dyDescent="0.3">
      <c r="A172"/>
      <c r="E172" s="77"/>
    </row>
    <row r="173" spans="1:9" x14ac:dyDescent="0.3">
      <c r="A173"/>
      <c r="E173" s="77"/>
    </row>
    <row r="174" spans="1:9" x14ac:dyDescent="0.3">
      <c r="A174"/>
      <c r="F174" s="32"/>
    </row>
    <row r="175" spans="1:9" x14ac:dyDescent="0.3">
      <c r="A175"/>
      <c r="E175" s="77"/>
      <c r="F175" s="32"/>
    </row>
    <row r="176" spans="1:9" x14ac:dyDescent="0.3">
      <c r="A176"/>
      <c r="E176" s="77"/>
      <c r="F176" s="32"/>
    </row>
    <row r="177" spans="1:6" x14ac:dyDescent="0.3">
      <c r="A177"/>
      <c r="E177" s="77"/>
      <c r="F177" s="32"/>
    </row>
    <row r="178" spans="1:6" x14ac:dyDescent="0.3">
      <c r="A178"/>
      <c r="E178" s="77"/>
      <c r="F178" s="6"/>
    </row>
    <row r="179" spans="1:6" x14ac:dyDescent="0.3">
      <c r="A179"/>
      <c r="E179" s="77"/>
      <c r="F179" s="6"/>
    </row>
    <row r="180" spans="1:6" x14ac:dyDescent="0.3">
      <c r="A180"/>
      <c r="F180" s="6"/>
    </row>
    <row r="181" spans="1:6" x14ac:dyDescent="0.3">
      <c r="A181"/>
      <c r="F181" s="76"/>
    </row>
    <row r="182" spans="1:6" x14ac:dyDescent="0.3">
      <c r="A182"/>
      <c r="F182" s="77"/>
    </row>
    <row r="183" spans="1:6" x14ac:dyDescent="0.3">
      <c r="A183"/>
      <c r="F183" s="77"/>
    </row>
    <row r="184" spans="1:6" x14ac:dyDescent="0.3">
      <c r="A184"/>
      <c r="F184" s="77"/>
    </row>
    <row r="185" spans="1:6" x14ac:dyDescent="0.3">
      <c r="B185" s="33"/>
      <c r="C185" s="103"/>
      <c r="F185" s="77"/>
    </row>
    <row r="186" spans="1:6" x14ac:dyDescent="0.3">
      <c r="B186" s="33"/>
      <c r="C186" s="103"/>
    </row>
    <row r="187" spans="1:6" x14ac:dyDescent="0.3">
      <c r="B187" s="33"/>
      <c r="C187" s="103"/>
      <c r="F187" s="77"/>
    </row>
    <row r="188" spans="1:6" x14ac:dyDescent="0.3">
      <c r="B188" s="33"/>
      <c r="C188" s="103"/>
      <c r="F188" s="77"/>
    </row>
    <row r="189" spans="1:6" x14ac:dyDescent="0.3">
      <c r="B189" s="33"/>
      <c r="C189" s="103"/>
      <c r="F189" s="77"/>
    </row>
    <row r="190" spans="1:6" x14ac:dyDescent="0.3">
      <c r="B190" s="33"/>
      <c r="C190" s="103"/>
      <c r="F190" s="77"/>
    </row>
    <row r="191" spans="1:6" x14ac:dyDescent="0.3">
      <c r="B191" s="33"/>
      <c r="C191" s="103"/>
      <c r="F191" s="77"/>
    </row>
    <row r="192" spans="1:6" x14ac:dyDescent="0.3">
      <c r="B192" s="33"/>
      <c r="C192" s="103"/>
    </row>
    <row r="193" spans="1:3" x14ac:dyDescent="0.3">
      <c r="B193" s="33"/>
      <c r="C193" s="103"/>
    </row>
    <row r="194" spans="1:3" x14ac:dyDescent="0.3">
      <c r="B194" s="33"/>
      <c r="C194" s="103"/>
    </row>
    <row r="195" spans="1:3" x14ac:dyDescent="0.3">
      <c r="B195" s="33"/>
      <c r="C195" s="103"/>
    </row>
    <row r="196" spans="1:3" x14ac:dyDescent="0.3">
      <c r="A196"/>
      <c r="C196" s="103"/>
    </row>
    <row r="197" spans="1:3" x14ac:dyDescent="0.3">
      <c r="A197"/>
    </row>
    <row r="198" spans="1:3" x14ac:dyDescent="0.3">
      <c r="A198"/>
    </row>
    <row r="199" spans="1:3" x14ac:dyDescent="0.3">
      <c r="A199"/>
    </row>
    <row r="200" spans="1:3" x14ac:dyDescent="0.3">
      <c r="A200"/>
    </row>
    <row r="201" spans="1:3" x14ac:dyDescent="0.3">
      <c r="A201"/>
    </row>
    <row r="202" spans="1:3" x14ac:dyDescent="0.3">
      <c r="A202"/>
    </row>
    <row r="203" spans="1:3" x14ac:dyDescent="0.3">
      <c r="A203"/>
    </row>
    <row r="204" spans="1:3" x14ac:dyDescent="0.3">
      <c r="A204"/>
    </row>
    <row r="205" spans="1:3" x14ac:dyDescent="0.3">
      <c r="A205"/>
    </row>
    <row r="206" spans="1:3" x14ac:dyDescent="0.3">
      <c r="A206"/>
    </row>
  </sheetData>
  <sortState ref="Z14:AD20">
    <sortCondition descending="1" ref="Z14:Z20"/>
  </sortState>
  <mergeCells count="26">
    <mergeCell ref="A17:D17"/>
    <mergeCell ref="A25:D25"/>
    <mergeCell ref="A29:D29"/>
    <mergeCell ref="Y1:AH1"/>
    <mergeCell ref="A1:N1"/>
    <mergeCell ref="A4:D4"/>
    <mergeCell ref="F4:I4"/>
    <mergeCell ref="A5:D5"/>
    <mergeCell ref="F14:I14"/>
    <mergeCell ref="A13:D13"/>
    <mergeCell ref="F74:I74"/>
    <mergeCell ref="F60:I60"/>
    <mergeCell ref="F5:I5"/>
    <mergeCell ref="A125:D125"/>
    <mergeCell ref="F125:I125"/>
    <mergeCell ref="A96:D96"/>
    <mergeCell ref="A112:D112"/>
    <mergeCell ref="A120:D120"/>
    <mergeCell ref="F118:I118"/>
    <mergeCell ref="F112:I112"/>
    <mergeCell ref="F96:I96"/>
    <mergeCell ref="F35:I35"/>
    <mergeCell ref="A35:D35"/>
    <mergeCell ref="A60:D60"/>
    <mergeCell ref="F17:I17"/>
    <mergeCell ref="A24:D24"/>
  </mergeCells>
  <dataValidations count="5">
    <dataValidation type="list" allowBlank="1" sqref="C47 H56">
      <formula1>$AF$4:$AF$6</formula1>
    </dataValidation>
    <dataValidation type="list" allowBlank="1" sqref="H57">
      <formula1>$AG$4:$AG$5</formula1>
    </dataValidation>
    <dataValidation type="list" sqref="C48:C49">
      <formula1>$AG$4:$AG$5</formula1>
    </dataValidation>
    <dataValidation type="list" sqref="H132">
      <formula1>$AH$4:$AH$6</formula1>
    </dataValidation>
    <dataValidation type="list" sqref="C130">
      <formula1>$AH$4:$AH$6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6"/>
  <sheetViews>
    <sheetView zoomScale="70" zoomScaleNormal="70" workbookViewId="0">
      <selection activeCell="F21" sqref="F21:G24"/>
    </sheetView>
  </sheetViews>
  <sheetFormatPr defaultRowHeight="14.4" x14ac:dyDescent="0.3"/>
  <cols>
    <col min="1" max="1" width="54.88671875" style="33" bestFit="1" customWidth="1"/>
    <col min="2" max="2" width="11.33203125" bestFit="1" customWidth="1"/>
    <col min="3" max="3" width="9.6640625" bestFit="1" customWidth="1"/>
    <col min="4" max="4" width="14.33203125" bestFit="1" customWidth="1"/>
    <col min="5" max="5" width="12.88671875" customWidth="1"/>
    <col min="6" max="6" width="54.88671875" style="33" bestFit="1" customWidth="1"/>
    <col min="7" max="7" width="12.44140625" bestFit="1" customWidth="1"/>
    <col min="8" max="8" width="12.109375" customWidth="1"/>
    <col min="9" max="9" width="11.44140625" bestFit="1" customWidth="1"/>
    <col min="10" max="10" width="15.5546875" customWidth="1"/>
    <col min="11" max="11" width="13.33203125" customWidth="1"/>
    <col min="29" max="29" width="11.109375" bestFit="1" customWidth="1"/>
  </cols>
  <sheetData>
    <row r="1" spans="1:34" ht="23.4" x14ac:dyDescent="0.4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Y1" s="140" t="s">
        <v>204</v>
      </c>
      <c r="Z1" s="140"/>
      <c r="AA1" s="140"/>
      <c r="AB1" s="140"/>
      <c r="AC1" s="140"/>
      <c r="AD1" s="140"/>
      <c r="AE1" s="140"/>
      <c r="AF1" s="140"/>
      <c r="AG1" s="140"/>
      <c r="AH1" s="140"/>
    </row>
    <row r="2" spans="1:34" x14ac:dyDescent="0.3">
      <c r="A2"/>
      <c r="F2"/>
    </row>
    <row r="3" spans="1:34" ht="15" thickBot="1" x14ac:dyDescent="0.35">
      <c r="A3"/>
      <c r="F3"/>
      <c r="Y3" s="89"/>
      <c r="Z3" s="59" t="s">
        <v>72</v>
      </c>
      <c r="AA3" s="36" t="s">
        <v>180</v>
      </c>
      <c r="AB3" s="36" t="s">
        <v>181</v>
      </c>
      <c r="AC3" s="59" t="s">
        <v>192</v>
      </c>
      <c r="AD3" s="90" t="s">
        <v>196</v>
      </c>
    </row>
    <row r="4" spans="1:34" x14ac:dyDescent="0.3">
      <c r="A4" s="131" t="s">
        <v>1</v>
      </c>
      <c r="B4" s="132"/>
      <c r="C4" s="132"/>
      <c r="D4" s="133"/>
      <c r="F4" s="131" t="s">
        <v>2</v>
      </c>
      <c r="G4" s="132"/>
      <c r="H4" s="132"/>
      <c r="I4" s="133"/>
      <c r="Y4" s="91" t="s">
        <v>183</v>
      </c>
      <c r="Z4" s="3">
        <v>9770</v>
      </c>
      <c r="AA4" s="11">
        <v>0.54</v>
      </c>
      <c r="AB4" s="11">
        <v>38.857500000000002</v>
      </c>
      <c r="AC4" s="11">
        <v>1</v>
      </c>
      <c r="AD4" s="95">
        <v>10</v>
      </c>
      <c r="AE4" s="1" t="str">
        <f>IF(H7-H9&lt;H8/100*6,"masthead","frac")</f>
        <v>masthead</v>
      </c>
      <c r="AF4" t="s">
        <v>3</v>
      </c>
      <c r="AG4" t="s">
        <v>6</v>
      </c>
      <c r="AH4" t="s">
        <v>200</v>
      </c>
    </row>
    <row r="5" spans="1:34" x14ac:dyDescent="0.3">
      <c r="A5" s="119" t="s">
        <v>4</v>
      </c>
      <c r="B5" s="120"/>
      <c r="C5" s="120"/>
      <c r="D5" s="121"/>
      <c r="F5" s="119" t="s">
        <v>5</v>
      </c>
      <c r="G5" s="120"/>
      <c r="H5" s="120"/>
      <c r="I5" s="121"/>
      <c r="Y5" s="91" t="s">
        <v>183</v>
      </c>
      <c r="Z5" s="3">
        <v>6150</v>
      </c>
      <c r="AA5" s="11">
        <v>0.34499999999999997</v>
      </c>
      <c r="AB5" s="11">
        <v>24.75</v>
      </c>
      <c r="AC5" s="11">
        <v>0.8</v>
      </c>
      <c r="AD5" s="95">
        <v>8</v>
      </c>
      <c r="AF5" t="s">
        <v>7</v>
      </c>
      <c r="AG5" t="s">
        <v>12</v>
      </c>
      <c r="AH5" t="s">
        <v>183</v>
      </c>
    </row>
    <row r="6" spans="1:34" x14ac:dyDescent="0.3">
      <c r="A6" s="2" t="s">
        <v>8</v>
      </c>
      <c r="B6" s="3" t="s">
        <v>9</v>
      </c>
      <c r="C6" s="4">
        <v>9.7200000000000006</v>
      </c>
      <c r="D6" s="5" t="s">
        <v>10</v>
      </c>
      <c r="F6" s="2" t="s">
        <v>11</v>
      </c>
      <c r="G6" s="6"/>
      <c r="H6" s="7" t="str">
        <f>IF(ong="frac","Fractioneel","Topgetuigd")</f>
        <v>Topgetuigd</v>
      </c>
      <c r="I6" s="8"/>
      <c r="Y6" s="91" t="s">
        <v>183</v>
      </c>
      <c r="Z6" s="3">
        <v>4910</v>
      </c>
      <c r="AA6" s="11">
        <v>0.26</v>
      </c>
      <c r="AB6" s="11">
        <v>19.625</v>
      </c>
      <c r="AC6" s="11">
        <v>0.7</v>
      </c>
      <c r="AD6" s="95">
        <v>7</v>
      </c>
      <c r="AF6" t="s">
        <v>13</v>
      </c>
      <c r="AH6" t="s">
        <v>184</v>
      </c>
    </row>
    <row r="7" spans="1:34" x14ac:dyDescent="0.3">
      <c r="A7" s="2" t="s">
        <v>14</v>
      </c>
      <c r="B7" s="3" t="s">
        <v>15</v>
      </c>
      <c r="C7" s="4">
        <v>11.43</v>
      </c>
      <c r="D7" s="5" t="s">
        <v>10</v>
      </c>
      <c r="F7" s="2" t="s">
        <v>16</v>
      </c>
      <c r="G7" s="6"/>
      <c r="H7" s="9">
        <f>C6+C9+C10</f>
        <v>12.202</v>
      </c>
      <c r="I7" s="5" t="s">
        <v>10</v>
      </c>
      <c r="Y7" s="91" t="s">
        <v>183</v>
      </c>
      <c r="Z7" s="3">
        <v>3550</v>
      </c>
      <c r="AA7" s="11">
        <v>0.19399999999999998</v>
      </c>
      <c r="AB7" s="11">
        <v>12.75</v>
      </c>
      <c r="AC7" s="11">
        <v>0.6</v>
      </c>
      <c r="AD7" s="95">
        <v>6</v>
      </c>
    </row>
    <row r="8" spans="1:34" x14ac:dyDescent="0.3">
      <c r="A8" s="2" t="s">
        <v>17</v>
      </c>
      <c r="B8" s="3" t="s">
        <v>18</v>
      </c>
      <c r="C8" s="4">
        <v>3</v>
      </c>
      <c r="D8" s="5" t="s">
        <v>10</v>
      </c>
      <c r="F8" s="2" t="s">
        <v>19</v>
      </c>
      <c r="G8" s="6"/>
      <c r="H8" s="9">
        <f>C6+C9-C18</f>
        <v>10.65</v>
      </c>
      <c r="I8" s="5" t="s">
        <v>10</v>
      </c>
      <c r="Y8" s="91" t="s">
        <v>183</v>
      </c>
      <c r="Z8" s="3">
        <v>2440</v>
      </c>
      <c r="AA8" s="11">
        <v>0.13500000000000001</v>
      </c>
      <c r="AB8" s="11">
        <v>9.5</v>
      </c>
      <c r="AC8" s="11">
        <v>0.5</v>
      </c>
      <c r="AD8" s="95">
        <v>5</v>
      </c>
    </row>
    <row r="9" spans="1:34" x14ac:dyDescent="0.3">
      <c r="A9" s="2" t="s">
        <v>20</v>
      </c>
      <c r="B9" s="3" t="s">
        <v>21</v>
      </c>
      <c r="C9" s="10">
        <v>1.53</v>
      </c>
      <c r="D9" s="5" t="s">
        <v>10</v>
      </c>
      <c r="F9" s="2" t="s">
        <v>22</v>
      </c>
      <c r="G9" s="6"/>
      <c r="H9" s="9">
        <f>C7+C10</f>
        <v>12.382</v>
      </c>
      <c r="I9" s="5" t="s">
        <v>10</v>
      </c>
      <c r="Y9" s="91" t="s">
        <v>182</v>
      </c>
      <c r="Z9" s="23">
        <v>7250</v>
      </c>
      <c r="AA9" s="83">
        <v>0.48799999999999999</v>
      </c>
      <c r="AB9" s="11">
        <v>15.543000000000001</v>
      </c>
      <c r="AC9" s="11">
        <v>1</v>
      </c>
      <c r="AD9" s="95">
        <v>10</v>
      </c>
    </row>
    <row r="10" spans="1:34" x14ac:dyDescent="0.3">
      <c r="A10" s="2" t="s">
        <v>23</v>
      </c>
      <c r="B10" s="3" t="s">
        <v>24</v>
      </c>
      <c r="C10" s="4">
        <v>0.95199999999999996</v>
      </c>
      <c r="D10" s="5" t="s">
        <v>10</v>
      </c>
      <c r="F10" s="2" t="s">
        <v>25</v>
      </c>
      <c r="G10" s="6"/>
      <c r="H10" s="11">
        <f>H7-H9</f>
        <v>-0.17999999999999972</v>
      </c>
      <c r="I10" s="5" t="s">
        <v>10</v>
      </c>
      <c r="Y10" s="91" t="s">
        <v>182</v>
      </c>
      <c r="Z10" s="3">
        <v>4640</v>
      </c>
      <c r="AA10" s="11">
        <v>0.312</v>
      </c>
      <c r="AB10" s="11">
        <v>9.9</v>
      </c>
      <c r="AC10" s="11">
        <v>0.8</v>
      </c>
      <c r="AD10" s="95">
        <v>8</v>
      </c>
    </row>
    <row r="11" spans="1:34" ht="15.6" x14ac:dyDescent="0.35">
      <c r="A11" s="2" t="s">
        <v>26</v>
      </c>
      <c r="B11" s="3" t="s">
        <v>27</v>
      </c>
      <c r="C11" s="10">
        <v>3.21</v>
      </c>
      <c r="D11" s="5" t="s">
        <v>10</v>
      </c>
      <c r="F11" s="2" t="s">
        <v>28</v>
      </c>
      <c r="G11" s="6"/>
      <c r="H11" s="9">
        <f>C10+C9+C6*C20*C21</f>
        <v>4.7037142857142866</v>
      </c>
      <c r="I11" s="5" t="s">
        <v>10</v>
      </c>
      <c r="Y11" s="91" t="s">
        <v>182</v>
      </c>
      <c r="Z11" s="3">
        <v>3550</v>
      </c>
      <c r="AA11" s="11">
        <v>0.23899999999999999</v>
      </c>
      <c r="AB11" s="11">
        <v>7.85</v>
      </c>
      <c r="AC11" s="11">
        <v>0.7</v>
      </c>
      <c r="AD11" s="95">
        <v>7</v>
      </c>
    </row>
    <row r="12" spans="1:34" ht="15.6" x14ac:dyDescent="0.35">
      <c r="A12" s="12" t="s">
        <v>29</v>
      </c>
      <c r="B12" s="13" t="s">
        <v>30</v>
      </c>
      <c r="C12" s="14">
        <v>4311</v>
      </c>
      <c r="D12" s="15" t="s">
        <v>31</v>
      </c>
      <c r="F12" s="16" t="s">
        <v>32</v>
      </c>
      <c r="G12" s="3" t="s">
        <v>33</v>
      </c>
      <c r="H12" s="17">
        <f>ATAN(C8/C7)/2/PI()*360</f>
        <v>14.706545281527587</v>
      </c>
      <c r="I12" s="5" t="s">
        <v>34</v>
      </c>
      <c r="Y12" s="91" t="s">
        <v>182</v>
      </c>
      <c r="Z12" s="3">
        <v>2880</v>
      </c>
      <c r="AA12" s="11">
        <v>0.17600000000000002</v>
      </c>
      <c r="AB12" s="11">
        <v>5.0999999999999996</v>
      </c>
      <c r="AC12" s="11">
        <v>0.6</v>
      </c>
      <c r="AD12" s="95">
        <v>6</v>
      </c>
    </row>
    <row r="13" spans="1:34" ht="15.6" x14ac:dyDescent="0.35">
      <c r="A13" s="119" t="s">
        <v>35</v>
      </c>
      <c r="B13" s="120"/>
      <c r="C13" s="120"/>
      <c r="D13" s="121"/>
      <c r="F13" s="18" t="s">
        <v>36</v>
      </c>
      <c r="G13" s="13" t="s">
        <v>37</v>
      </c>
      <c r="H13" s="19">
        <f>ATAN((9.21-3-0.18-0.3-0.15)/(H7-0.25))/2/PI()*360</f>
        <v>25.026340432592008</v>
      </c>
      <c r="I13" s="15" t="s">
        <v>34</v>
      </c>
      <c r="Y13" s="92" t="s">
        <v>182</v>
      </c>
      <c r="Z13" s="13">
        <v>2000</v>
      </c>
      <c r="AA13" s="80">
        <v>0.122</v>
      </c>
      <c r="AB13" s="80">
        <v>3.8</v>
      </c>
      <c r="AC13" s="80">
        <v>0.5</v>
      </c>
      <c r="AD13" s="96">
        <v>5</v>
      </c>
    </row>
    <row r="14" spans="1:34" ht="15.6" x14ac:dyDescent="0.35">
      <c r="A14" s="2" t="s">
        <v>38</v>
      </c>
      <c r="B14" s="3" t="s">
        <v>39</v>
      </c>
      <c r="C14" s="10">
        <v>3600</v>
      </c>
      <c r="D14" s="5" t="s">
        <v>31</v>
      </c>
      <c r="F14" s="119" t="s">
        <v>40</v>
      </c>
      <c r="G14" s="120"/>
      <c r="H14" s="120"/>
      <c r="I14" s="121"/>
      <c r="Y14" s="94" t="s">
        <v>184</v>
      </c>
      <c r="Z14">
        <v>7940</v>
      </c>
      <c r="AA14">
        <v>0.434</v>
      </c>
      <c r="AC14" s="1">
        <f t="shared" ref="AC14:AC20" si="0">AD14/10</f>
        <v>0.83800000000000008</v>
      </c>
      <c r="AD14" s="97">
        <v>8.3800000000000008</v>
      </c>
    </row>
    <row r="15" spans="1:34" x14ac:dyDescent="0.3">
      <c r="A15" s="2" t="s">
        <v>41</v>
      </c>
      <c r="B15" s="3" t="s">
        <v>42</v>
      </c>
      <c r="C15" s="20">
        <f>2156*9.81</f>
        <v>21150.36</v>
      </c>
      <c r="D15" s="5" t="s">
        <v>43</v>
      </c>
      <c r="F15" s="2" t="s">
        <v>44</v>
      </c>
      <c r="G15" s="6"/>
      <c r="H15" s="9">
        <f>C9-C18</f>
        <v>0.93</v>
      </c>
      <c r="I15" s="5" t="s">
        <v>10</v>
      </c>
      <c r="Y15" s="94" t="s">
        <v>184</v>
      </c>
      <c r="Z15">
        <v>6460</v>
      </c>
      <c r="AA15">
        <v>0.34899999999999998</v>
      </c>
      <c r="AC15" s="1">
        <f t="shared" si="0"/>
        <v>0.752</v>
      </c>
      <c r="AD15" s="97">
        <v>7.52</v>
      </c>
    </row>
    <row r="16" spans="1:34" x14ac:dyDescent="0.3">
      <c r="A16" s="12" t="s">
        <v>45</v>
      </c>
      <c r="B16" s="13" t="s">
        <v>46</v>
      </c>
      <c r="C16" s="14">
        <v>3</v>
      </c>
      <c r="D16" s="15" t="s">
        <v>47</v>
      </c>
      <c r="F16" s="12" t="s">
        <v>48</v>
      </c>
      <c r="G16" s="21"/>
      <c r="H16" s="22">
        <f>C9+C10</f>
        <v>2.4820000000000002</v>
      </c>
      <c r="I16" s="15" t="s">
        <v>10</v>
      </c>
      <c r="Y16" s="94" t="s">
        <v>184</v>
      </c>
      <c r="Z16">
        <v>5670</v>
      </c>
      <c r="AA16">
        <v>0.314</v>
      </c>
      <c r="AC16" s="1">
        <f t="shared" si="0"/>
        <v>0.71399999999999997</v>
      </c>
      <c r="AD16" s="97">
        <v>7.14</v>
      </c>
    </row>
    <row r="17" spans="1:30" ht="15.6" x14ac:dyDescent="0.35">
      <c r="A17" s="119" t="s">
        <v>49</v>
      </c>
      <c r="B17" s="120"/>
      <c r="C17" s="120"/>
      <c r="D17" s="121"/>
      <c r="F17" s="119" t="s">
        <v>186</v>
      </c>
      <c r="G17" s="120"/>
      <c r="H17" s="120"/>
      <c r="I17" s="121"/>
      <c r="Y17" s="94" t="s">
        <v>184</v>
      </c>
      <c r="Z17">
        <v>4670</v>
      </c>
      <c r="AA17">
        <v>0.249</v>
      </c>
      <c r="AC17" s="1">
        <f t="shared" si="0"/>
        <v>0.63500000000000001</v>
      </c>
      <c r="AD17" s="97">
        <v>6.35</v>
      </c>
    </row>
    <row r="18" spans="1:30" x14ac:dyDescent="0.3">
      <c r="A18" s="2" t="s">
        <v>50</v>
      </c>
      <c r="B18" s="6"/>
      <c r="C18" s="4">
        <v>0.6</v>
      </c>
      <c r="D18" s="5" t="s">
        <v>10</v>
      </c>
      <c r="F18" s="16" t="s">
        <v>51</v>
      </c>
      <c r="G18" s="3" t="s">
        <v>52</v>
      </c>
      <c r="H18" s="17">
        <f>9.81*C16*(3.4*C11-4.9*C10)</f>
        <v>183.91395599999998</v>
      </c>
      <c r="I18" s="5" t="s">
        <v>43</v>
      </c>
      <c r="Y18" s="94" t="s">
        <v>184</v>
      </c>
      <c r="Z18">
        <v>3720</v>
      </c>
      <c r="AA18">
        <v>0.20200000000000001</v>
      </c>
      <c r="AC18" s="1">
        <f t="shared" si="0"/>
        <v>0.57199999999999995</v>
      </c>
      <c r="AD18" s="97">
        <v>5.72</v>
      </c>
    </row>
    <row r="19" spans="1:30" ht="16.2" thickBot="1" x14ac:dyDescent="0.4">
      <c r="A19" s="2" t="s">
        <v>53</v>
      </c>
      <c r="B19" s="23" t="s">
        <v>54</v>
      </c>
      <c r="C19" s="4">
        <v>1</v>
      </c>
      <c r="D19" s="5" t="s">
        <v>10</v>
      </c>
      <c r="F19" s="24" t="s">
        <v>55</v>
      </c>
      <c r="G19" s="25" t="s">
        <v>56</v>
      </c>
      <c r="H19" s="26">
        <f>C15*C12/C14+H18</f>
        <v>25511.470056000002</v>
      </c>
      <c r="I19" s="27" t="s">
        <v>43</v>
      </c>
      <c r="Y19" s="94" t="s">
        <v>184</v>
      </c>
      <c r="Z19">
        <v>2860</v>
      </c>
      <c r="AA19">
        <v>0.156</v>
      </c>
      <c r="AC19" s="1">
        <f t="shared" si="0"/>
        <v>0.503</v>
      </c>
      <c r="AD19" s="97">
        <v>5.03</v>
      </c>
    </row>
    <row r="20" spans="1:30" ht="16.2" thickBot="1" x14ac:dyDescent="0.4">
      <c r="A20" s="2" t="s">
        <v>57</v>
      </c>
      <c r="B20" s="3" t="s">
        <v>58</v>
      </c>
      <c r="C20" s="29">
        <f>7700/12600</f>
        <v>0.61111111111111116</v>
      </c>
      <c r="D20" s="5" t="s">
        <v>59</v>
      </c>
      <c r="F20"/>
      <c r="Y20" s="94" t="s">
        <v>184</v>
      </c>
      <c r="Z20">
        <v>2130</v>
      </c>
      <c r="AA20">
        <v>0.11799999999999999</v>
      </c>
      <c r="AC20" s="1">
        <f t="shared" si="0"/>
        <v>0.437</v>
      </c>
      <c r="AD20" s="97">
        <v>4.37</v>
      </c>
    </row>
    <row r="21" spans="1:30" ht="16.2" thickBot="1" x14ac:dyDescent="0.4">
      <c r="A21" s="28" t="s">
        <v>60</v>
      </c>
      <c r="B21" s="25" t="s">
        <v>61</v>
      </c>
      <c r="C21" s="29">
        <f>2880/7700</f>
        <v>0.37402597402597404</v>
      </c>
      <c r="D21" s="30" t="s">
        <v>62</v>
      </c>
      <c r="Y21" s="94"/>
      <c r="AC21" s="1"/>
    </row>
    <row r="22" spans="1:30" x14ac:dyDescent="0.3">
      <c r="A22" s="3"/>
      <c r="B22" s="3"/>
      <c r="C22" s="31"/>
      <c r="D22" s="32"/>
      <c r="Y22" s="94"/>
      <c r="AC22" s="1"/>
    </row>
    <row r="23" spans="1:30" ht="15" thickBot="1" x14ac:dyDescent="0.35">
      <c r="A23" s="3"/>
      <c r="B23" s="3"/>
      <c r="C23" s="31"/>
      <c r="D23" s="32"/>
      <c r="Y23" s="94"/>
      <c r="Z23" s="23"/>
      <c r="AC23" s="1"/>
      <c r="AD23" s="58"/>
    </row>
    <row r="24" spans="1:30" x14ac:dyDescent="0.3">
      <c r="A24" s="134" t="s">
        <v>63</v>
      </c>
      <c r="B24" s="135"/>
      <c r="C24" s="135"/>
      <c r="D24" s="136"/>
      <c r="Y24" s="94"/>
      <c r="Z24" s="23"/>
      <c r="AC24" s="1"/>
      <c r="AD24" s="58"/>
    </row>
    <row r="25" spans="1:30" x14ac:dyDescent="0.3">
      <c r="A25" s="137" t="s">
        <v>65</v>
      </c>
      <c r="B25" s="138"/>
      <c r="C25" s="138"/>
      <c r="D25" s="139"/>
      <c r="F25" s="108"/>
      <c r="G25" s="34"/>
      <c r="L25" s="34"/>
      <c r="Y25" s="94"/>
      <c r="Z25" s="23"/>
      <c r="AC25" s="1"/>
      <c r="AD25" s="58"/>
    </row>
    <row r="26" spans="1:30" x14ac:dyDescent="0.3">
      <c r="A26" s="35" t="s">
        <v>68</v>
      </c>
      <c r="B26" s="36" t="s">
        <v>69</v>
      </c>
      <c r="C26" s="37">
        <f>15*H19/H9</f>
        <v>30905.512101437576</v>
      </c>
      <c r="D26" s="38" t="s">
        <v>70</v>
      </c>
      <c r="L26" s="34"/>
    </row>
    <row r="27" spans="1:30" x14ac:dyDescent="0.3">
      <c r="A27" s="39"/>
      <c r="B27" s="23"/>
      <c r="C27" s="40">
        <f>C26/9.81</f>
        <v>3150.4089807785499</v>
      </c>
      <c r="D27" s="5" t="s">
        <v>72</v>
      </c>
      <c r="L27" s="34"/>
    </row>
    <row r="28" spans="1:30" ht="15.6" x14ac:dyDescent="0.35">
      <c r="A28" s="12" t="s">
        <v>75</v>
      </c>
      <c r="B28" s="13" t="s">
        <v>76</v>
      </c>
      <c r="C28" s="22">
        <f>SQRT(C8^2+C7^2)</f>
        <v>11.817144325089712</v>
      </c>
      <c r="D28" s="15" t="s">
        <v>10</v>
      </c>
      <c r="L28" s="34"/>
    </row>
    <row r="29" spans="1:30" x14ac:dyDescent="0.3">
      <c r="A29" s="119" t="s">
        <v>78</v>
      </c>
      <c r="B29" s="120"/>
      <c r="C29" s="120"/>
      <c r="D29" s="121"/>
      <c r="K29" s="1"/>
    </row>
    <row r="30" spans="1:30" x14ac:dyDescent="0.3">
      <c r="A30" s="2" t="s">
        <v>68</v>
      </c>
      <c r="B30" s="23" t="s">
        <v>81</v>
      </c>
      <c r="C30" s="17">
        <f>IF(ong="masthead",C26*SIN(H12/360*2*PI())/SIN(H13/360*2*PI()),2.8*H19/(H7*SIN(H13/360*2*PI())))</f>
        <v>18546.778732767671</v>
      </c>
      <c r="D30" s="5" t="s">
        <v>70</v>
      </c>
      <c r="L30" s="34"/>
    </row>
    <row r="31" spans="1:30" x14ac:dyDescent="0.3">
      <c r="A31" s="2"/>
      <c r="B31" s="23"/>
      <c r="C31" s="40">
        <f>C30/9.81</f>
        <v>1890.5992592015973</v>
      </c>
      <c r="D31" s="5" t="s">
        <v>72</v>
      </c>
      <c r="L31" s="34"/>
    </row>
    <row r="32" spans="1:30" ht="16.2" thickBot="1" x14ac:dyDescent="0.4">
      <c r="A32" s="28" t="s">
        <v>75</v>
      </c>
      <c r="B32" s="41" t="s">
        <v>86</v>
      </c>
      <c r="C32" s="42">
        <f>SQRT((H7-0.2)^2+(9.21-3.3-0.18-0.2)^2)</f>
        <v>13.214723001258863</v>
      </c>
      <c r="D32" s="27" t="s">
        <v>10</v>
      </c>
      <c r="L32" s="34"/>
    </row>
    <row r="33" spans="1:11" x14ac:dyDescent="0.3">
      <c r="A33" s="3"/>
      <c r="B33" s="3"/>
      <c r="C33" s="31"/>
      <c r="D33" s="32"/>
    </row>
    <row r="34" spans="1:11" ht="15" thickBot="1" x14ac:dyDescent="0.35">
      <c r="A34" s="3"/>
      <c r="B34" s="3"/>
      <c r="C34" s="31"/>
      <c r="D34" s="32"/>
    </row>
    <row r="35" spans="1:11" x14ac:dyDescent="0.3">
      <c r="A35" s="131" t="s">
        <v>90</v>
      </c>
      <c r="B35" s="132"/>
      <c r="C35" s="132"/>
      <c r="D35" s="133"/>
      <c r="F35" s="128" t="s">
        <v>64</v>
      </c>
      <c r="G35" s="129"/>
      <c r="H35" s="129"/>
      <c r="I35" s="130"/>
    </row>
    <row r="36" spans="1:11" ht="15.6" x14ac:dyDescent="0.35">
      <c r="A36" s="2" t="s">
        <v>93</v>
      </c>
      <c r="B36" s="6"/>
      <c r="C36" s="4">
        <v>0.47868341140058318</v>
      </c>
      <c r="D36" s="5" t="s">
        <v>67</v>
      </c>
      <c r="F36" s="2" t="s">
        <v>66</v>
      </c>
      <c r="G36" s="6"/>
      <c r="H36" s="4">
        <v>0.61051125294688235</v>
      </c>
      <c r="I36" s="5" t="s">
        <v>67</v>
      </c>
    </row>
    <row r="37" spans="1:11" ht="15.6" x14ac:dyDescent="0.35">
      <c r="A37" s="2" t="s">
        <v>96</v>
      </c>
      <c r="B37" s="3" t="s">
        <v>83</v>
      </c>
      <c r="C37" s="9">
        <f>(C7-C18)*(1-C36)</f>
        <v>5.6458586545316845</v>
      </c>
      <c r="D37" s="5" t="s">
        <v>10</v>
      </c>
      <c r="E37" s="34"/>
      <c r="F37" s="2" t="s">
        <v>71</v>
      </c>
      <c r="G37" s="6"/>
      <c r="H37" s="4">
        <v>0.2839108317011978</v>
      </c>
      <c r="I37" s="5" t="s">
        <v>67</v>
      </c>
    </row>
    <row r="38" spans="1:11" ht="15.6" x14ac:dyDescent="0.35">
      <c r="A38" s="12" t="s">
        <v>99</v>
      </c>
      <c r="B38" s="13" t="s">
        <v>85</v>
      </c>
      <c r="C38" s="22">
        <f>(C7-C18)*C36</f>
        <v>5.1841413454683156</v>
      </c>
      <c r="D38" s="15" t="s">
        <v>10</v>
      </c>
      <c r="E38" s="34"/>
      <c r="F38" s="2" t="s">
        <v>73</v>
      </c>
      <c r="G38" s="6"/>
      <c r="H38" s="4">
        <v>0.79999999949582645</v>
      </c>
      <c r="I38" s="5" t="s">
        <v>74</v>
      </c>
    </row>
    <row r="39" spans="1:11" ht="15.6" x14ac:dyDescent="0.35">
      <c r="A39" s="2" t="s">
        <v>102</v>
      </c>
      <c r="B39" s="6"/>
      <c r="C39" s="4">
        <v>1</v>
      </c>
      <c r="D39" s="5" t="s">
        <v>74</v>
      </c>
      <c r="F39" s="2" t="s">
        <v>77</v>
      </c>
      <c r="G39" s="6"/>
      <c r="H39" s="4">
        <v>1</v>
      </c>
      <c r="I39" s="5" t="s">
        <v>74</v>
      </c>
    </row>
    <row r="40" spans="1:11" ht="15.6" x14ac:dyDescent="0.35">
      <c r="A40" s="18" t="s">
        <v>105</v>
      </c>
      <c r="B40" s="21"/>
      <c r="C40" s="22">
        <f>C39*C19</f>
        <v>1</v>
      </c>
      <c r="D40" s="48" t="s">
        <v>10</v>
      </c>
      <c r="F40" s="2" t="s">
        <v>79</v>
      </c>
      <c r="G40" s="3" t="s">
        <v>80</v>
      </c>
      <c r="H40" s="9">
        <f>(C7-C18)*(1-H36)</f>
        <v>4.218163130585264</v>
      </c>
      <c r="I40" s="5" t="s">
        <v>10</v>
      </c>
    </row>
    <row r="41" spans="1:11" ht="16.2" x14ac:dyDescent="0.35">
      <c r="A41" s="2" t="s">
        <v>103</v>
      </c>
      <c r="B41" s="45" t="s">
        <v>104</v>
      </c>
      <c r="C41" s="44">
        <f>ATAN((C19-C40)/(C38+opbouw))/2/PI()*360</f>
        <v>0</v>
      </c>
      <c r="D41" s="5" t="s">
        <v>34</v>
      </c>
      <c r="F41" s="16" t="s">
        <v>82</v>
      </c>
      <c r="G41" s="3" t="s">
        <v>83</v>
      </c>
      <c r="H41" s="9">
        <f>(C7-C18)*(H36-H37)</f>
        <v>3.537082562090764</v>
      </c>
      <c r="I41" s="5" t="s">
        <v>10</v>
      </c>
    </row>
    <row r="42" spans="1:11" ht="16.2" x14ac:dyDescent="0.35">
      <c r="A42" s="2" t="s">
        <v>94</v>
      </c>
      <c r="B42" s="45" t="s">
        <v>111</v>
      </c>
      <c r="C42" s="44">
        <f>ATAN(C40/C37)/2/PI()*360</f>
        <v>10.04411485811751</v>
      </c>
      <c r="D42" s="5" t="s">
        <v>34</v>
      </c>
      <c r="F42" s="2" t="s">
        <v>84</v>
      </c>
      <c r="G42" s="3" t="s">
        <v>85</v>
      </c>
      <c r="H42" s="9">
        <f>(C7-C18)*H37</f>
        <v>3.074754307323972</v>
      </c>
      <c r="I42" s="5" t="s">
        <v>10</v>
      </c>
    </row>
    <row r="43" spans="1:11" ht="16.2" x14ac:dyDescent="0.35">
      <c r="A43" s="2" t="s">
        <v>97</v>
      </c>
      <c r="B43" s="45" t="s">
        <v>109</v>
      </c>
      <c r="C43" s="44">
        <f>ATAN(C19/(C38+opbouw))/2/PI()*360</f>
        <v>9.8087076393316632</v>
      </c>
      <c r="D43" s="5" t="s">
        <v>34</v>
      </c>
      <c r="F43" s="16" t="s">
        <v>87</v>
      </c>
      <c r="G43" s="6"/>
      <c r="H43" s="9">
        <f>H38*C19</f>
        <v>0.79999999949582645</v>
      </c>
      <c r="I43" s="43" t="s">
        <v>10</v>
      </c>
      <c r="K43" s="34"/>
    </row>
    <row r="44" spans="1:11" x14ac:dyDescent="0.3">
      <c r="A44" s="35" t="s">
        <v>106</v>
      </c>
      <c r="B44" s="36" t="s">
        <v>110</v>
      </c>
      <c r="C44" s="81">
        <f>SQRT(C37^2+C40^2)</f>
        <v>5.733735252603692</v>
      </c>
      <c r="D44" s="61" t="s">
        <v>10</v>
      </c>
      <c r="F44" s="16" t="s">
        <v>88</v>
      </c>
      <c r="G44" s="6"/>
      <c r="H44" s="9">
        <f>H39*C19</f>
        <v>1</v>
      </c>
      <c r="I44" s="43" t="s">
        <v>10</v>
      </c>
    </row>
    <row r="45" spans="1:11" x14ac:dyDescent="0.3">
      <c r="A45" s="2"/>
      <c r="B45" s="23" t="s">
        <v>112</v>
      </c>
      <c r="C45" s="9">
        <f>SQRT((C38+opbouw)^2+(C40-C19)^2)</f>
        <v>5.7841413454683153</v>
      </c>
      <c r="D45" s="43" t="s">
        <v>10</v>
      </c>
      <c r="F45" s="12" t="s">
        <v>89</v>
      </c>
      <c r="G45" s="21"/>
      <c r="H45" s="22">
        <f>H42+H41</f>
        <v>6.611836869414736</v>
      </c>
      <c r="I45" s="15" t="s">
        <v>10</v>
      </c>
    </row>
    <row r="46" spans="1:11" ht="15.6" x14ac:dyDescent="0.35">
      <c r="A46" s="12"/>
      <c r="B46" s="50" t="s">
        <v>113</v>
      </c>
      <c r="C46" s="22">
        <f>SQRT((C38+opbouw)^2+C19^2)</f>
        <v>5.8699481347245319</v>
      </c>
      <c r="D46" s="48" t="s">
        <v>10</v>
      </c>
      <c r="F46" s="2" t="s">
        <v>91</v>
      </c>
      <c r="G46" s="23" t="s">
        <v>92</v>
      </c>
      <c r="H46" s="44">
        <f>ATAN(H43/H40)/2/PI()*360</f>
        <v>10.738943564066805</v>
      </c>
      <c r="I46" s="5" t="s">
        <v>34</v>
      </c>
    </row>
    <row r="47" spans="1:11" ht="15.6" x14ac:dyDescent="0.35">
      <c r="A47" s="2" t="s">
        <v>114</v>
      </c>
      <c r="B47" s="23" t="s">
        <v>115</v>
      </c>
      <c r="C47" s="52" t="s">
        <v>3</v>
      </c>
      <c r="D47" s="43"/>
      <c r="F47" s="2" t="s">
        <v>94</v>
      </c>
      <c r="G47" s="23" t="s">
        <v>95</v>
      </c>
      <c r="H47" s="44">
        <f>ATAN(H44/H41)/2/PI()*360</f>
        <v>15.78659901209428</v>
      </c>
      <c r="I47" s="43" t="s">
        <v>34</v>
      </c>
    </row>
    <row r="48" spans="1:11" ht="16.2" thickBot="1" x14ac:dyDescent="0.4">
      <c r="A48" s="24" t="s">
        <v>116</v>
      </c>
      <c r="B48" s="41" t="s">
        <v>115</v>
      </c>
      <c r="C48" s="53" t="s">
        <v>6</v>
      </c>
      <c r="D48" s="27"/>
      <c r="F48" s="2" t="s">
        <v>97</v>
      </c>
      <c r="G48" s="23" t="s">
        <v>98</v>
      </c>
      <c r="H48" s="44">
        <f>ATAN(C19/(H42+opbouw))/2/PI()*360</f>
        <v>15.223103748372546</v>
      </c>
      <c r="I48" s="5" t="s">
        <v>34</v>
      </c>
    </row>
    <row r="49" spans="1:9" ht="16.2" x14ac:dyDescent="0.35">
      <c r="A49" s="23"/>
      <c r="B49" s="23"/>
      <c r="C49" s="23"/>
      <c r="D49" s="6"/>
      <c r="F49" s="2" t="s">
        <v>100</v>
      </c>
      <c r="G49" s="45" t="s">
        <v>101</v>
      </c>
      <c r="H49" s="44">
        <f>ATAN((H44-H43)/H41)/2/PI()*360</f>
        <v>3.2362735971779162</v>
      </c>
      <c r="I49" s="5" t="s">
        <v>34</v>
      </c>
    </row>
    <row r="50" spans="1:9" ht="16.2" x14ac:dyDescent="0.35">
      <c r="A50" s="23"/>
      <c r="B50" s="6"/>
      <c r="C50" s="9"/>
      <c r="D50" s="54"/>
      <c r="F50" s="12" t="s">
        <v>103</v>
      </c>
      <c r="G50" s="46" t="s">
        <v>104</v>
      </c>
      <c r="H50" s="47">
        <f>ATAN((C19-H44)/(H42+opbouw))/2/PI()*360</f>
        <v>0</v>
      </c>
      <c r="I50" s="15" t="s">
        <v>34</v>
      </c>
    </row>
    <row r="51" spans="1:9" x14ac:dyDescent="0.3">
      <c r="A51"/>
      <c r="F51" s="2" t="s">
        <v>106</v>
      </c>
      <c r="G51" s="3" t="s">
        <v>107</v>
      </c>
      <c r="H51" s="9">
        <f>SQRT(H40^2+H43^2)</f>
        <v>4.2933553539652642</v>
      </c>
      <c r="I51" s="43" t="s">
        <v>10</v>
      </c>
    </row>
    <row r="52" spans="1:9" x14ac:dyDescent="0.3">
      <c r="A52"/>
      <c r="F52" s="2"/>
      <c r="G52" s="3" t="s">
        <v>108</v>
      </c>
      <c r="H52" s="9">
        <f>SQRT(H41^2+(H44-H43)^2)</f>
        <v>3.5427324272725187</v>
      </c>
      <c r="I52" s="43" t="s">
        <v>10</v>
      </c>
    </row>
    <row r="53" spans="1:9" x14ac:dyDescent="0.3">
      <c r="A53"/>
      <c r="F53" s="2"/>
      <c r="G53" s="3" t="s">
        <v>110</v>
      </c>
      <c r="H53" s="9">
        <f>SQRT(H41^2+H44^2)</f>
        <v>3.6757248334235473</v>
      </c>
      <c r="I53" s="43" t="s">
        <v>10</v>
      </c>
    </row>
    <row r="54" spans="1:9" x14ac:dyDescent="0.3">
      <c r="A54"/>
      <c r="F54" s="2"/>
      <c r="G54" s="3" t="s">
        <v>112</v>
      </c>
      <c r="H54" s="9">
        <f>SQRT((H42+opbouw)^2+(H44-C19)^2)</f>
        <v>3.6747543073239721</v>
      </c>
      <c r="I54" s="43" t="s">
        <v>10</v>
      </c>
    </row>
    <row r="55" spans="1:9" x14ac:dyDescent="0.3">
      <c r="A55"/>
      <c r="F55" s="12"/>
      <c r="G55" s="13" t="s">
        <v>113</v>
      </c>
      <c r="H55" s="22">
        <f>SQRT((H42+opbouw)^2+C19^2)</f>
        <v>3.8083880079629604</v>
      </c>
      <c r="I55" s="48" t="s">
        <v>10</v>
      </c>
    </row>
    <row r="56" spans="1:9" x14ac:dyDescent="0.3">
      <c r="A56"/>
      <c r="F56" s="35" t="s">
        <v>114</v>
      </c>
      <c r="G56" s="36" t="s">
        <v>115</v>
      </c>
      <c r="H56" s="49" t="s">
        <v>3</v>
      </c>
      <c r="I56" s="38"/>
    </row>
    <row r="57" spans="1:9" ht="15" thickBot="1" x14ac:dyDescent="0.35">
      <c r="A57"/>
      <c r="E57" s="58"/>
      <c r="F57" s="24" t="s">
        <v>116</v>
      </c>
      <c r="G57" s="41" t="s">
        <v>115</v>
      </c>
      <c r="H57" s="51" t="s">
        <v>6</v>
      </c>
      <c r="I57" s="27"/>
    </row>
    <row r="58" spans="1:9" x14ac:dyDescent="0.3">
      <c r="A58"/>
      <c r="I58" s="6"/>
    </row>
    <row r="59" spans="1:9" ht="15" thickBot="1" x14ac:dyDescent="0.35">
      <c r="A59"/>
      <c r="F59" s="25"/>
      <c r="G59" s="72"/>
      <c r="H59" s="72"/>
      <c r="I59" s="72"/>
    </row>
    <row r="60" spans="1:9" x14ac:dyDescent="0.3">
      <c r="A60" s="125" t="s">
        <v>117</v>
      </c>
      <c r="B60" s="126"/>
      <c r="C60" s="126"/>
      <c r="D60" s="127"/>
      <c r="F60" s="116" t="s">
        <v>117</v>
      </c>
      <c r="G60" s="117"/>
      <c r="H60" s="117"/>
      <c r="I60" s="118"/>
    </row>
    <row r="61" spans="1:9" x14ac:dyDescent="0.3">
      <c r="A61" s="2" t="s">
        <v>118</v>
      </c>
      <c r="B61" s="3" t="s">
        <v>120</v>
      </c>
      <c r="C61" s="55">
        <f>H19/H9</f>
        <v>2060.3674734291717</v>
      </c>
      <c r="D61" s="5" t="s">
        <v>70</v>
      </c>
      <c r="F61" s="2" t="s">
        <v>118</v>
      </c>
      <c r="G61" s="3" t="s">
        <v>119</v>
      </c>
      <c r="H61" s="55">
        <f>H19/H9</f>
        <v>2060.3674734291717</v>
      </c>
      <c r="I61" s="5" t="s">
        <v>70</v>
      </c>
    </row>
    <row r="62" spans="1:9" x14ac:dyDescent="0.3">
      <c r="A62" s="39"/>
      <c r="B62" s="3" t="s">
        <v>120</v>
      </c>
      <c r="C62" s="55">
        <f>C61/9.81</f>
        <v>210.02726538523666</v>
      </c>
      <c r="D62" s="5" t="s">
        <v>72</v>
      </c>
      <c r="F62" s="39"/>
      <c r="G62" s="3" t="s">
        <v>119</v>
      </c>
      <c r="H62" s="55">
        <f>H61/9.81</f>
        <v>210.02726538523666</v>
      </c>
      <c r="I62" s="5" t="s">
        <v>72</v>
      </c>
    </row>
    <row r="63" spans="1:9" x14ac:dyDescent="0.3">
      <c r="A63" s="2" t="s">
        <v>122</v>
      </c>
      <c r="B63" s="3" t="s">
        <v>123</v>
      </c>
      <c r="C63" s="55">
        <v>0</v>
      </c>
      <c r="D63" s="5" t="s">
        <v>70</v>
      </c>
      <c r="F63" s="2" t="s">
        <v>121</v>
      </c>
      <c r="G63" s="3" t="s">
        <v>120</v>
      </c>
      <c r="H63" s="55">
        <v>0</v>
      </c>
      <c r="I63" s="5" t="s">
        <v>70</v>
      </c>
    </row>
    <row r="64" spans="1:9" x14ac:dyDescent="0.3">
      <c r="A64" s="56"/>
      <c r="B64" s="13" t="s">
        <v>123</v>
      </c>
      <c r="C64" s="57">
        <v>0</v>
      </c>
      <c r="D64" s="48" t="s">
        <v>72</v>
      </c>
      <c r="F64" s="39"/>
      <c r="G64" s="3" t="s">
        <v>120</v>
      </c>
      <c r="H64" s="55">
        <v>0</v>
      </c>
      <c r="I64" s="43" t="s">
        <v>72</v>
      </c>
    </row>
    <row r="65" spans="1:9" x14ac:dyDescent="0.3">
      <c r="A65" s="2" t="s">
        <v>125</v>
      </c>
      <c r="B65" s="23" t="s">
        <v>110</v>
      </c>
      <c r="C65" s="17">
        <f>C61/SIN(C42/360*2*PI())</f>
        <v>11813.601615718842</v>
      </c>
      <c r="D65" s="5" t="s">
        <v>70</v>
      </c>
      <c r="F65" s="2" t="s">
        <v>124</v>
      </c>
      <c r="G65" s="3" t="s">
        <v>123</v>
      </c>
      <c r="H65" s="55">
        <v>0</v>
      </c>
      <c r="I65" s="5" t="s">
        <v>70</v>
      </c>
    </row>
    <row r="66" spans="1:9" x14ac:dyDescent="0.3">
      <c r="A66" s="2" t="s">
        <v>126</v>
      </c>
      <c r="B66" s="23" t="s">
        <v>112</v>
      </c>
      <c r="C66" s="17">
        <f>C61/TAN(C42/360*2*PI())/COS(C41/360*2*PI())</f>
        <v>11632.54353137567</v>
      </c>
      <c r="D66" s="5" t="s">
        <v>70</v>
      </c>
      <c r="F66" s="56"/>
      <c r="G66" s="13" t="s">
        <v>123</v>
      </c>
      <c r="H66" s="57">
        <v>0</v>
      </c>
      <c r="I66" s="48" t="s">
        <v>72</v>
      </c>
    </row>
    <row r="67" spans="1:9" ht="15" thickBot="1" x14ac:dyDescent="0.35">
      <c r="A67" s="28" t="s">
        <v>128</v>
      </c>
      <c r="B67" s="41" t="s">
        <v>113</v>
      </c>
      <c r="C67" s="26">
        <f>(C63+C61-C66*SIN(C41/360*2*PI()))/SIN(C43/360*2*PI())</f>
        <v>12094.250207502664</v>
      </c>
      <c r="D67" s="27" t="s">
        <v>70</v>
      </c>
      <c r="F67" s="35" t="s">
        <v>125</v>
      </c>
      <c r="G67" s="36" t="s">
        <v>107</v>
      </c>
      <c r="H67" s="37">
        <f>H61/SIN(H46/360*2*PI())</f>
        <v>11057.36216094731</v>
      </c>
      <c r="I67" s="38" t="s">
        <v>70</v>
      </c>
    </row>
    <row r="68" spans="1:9" x14ac:dyDescent="0.3">
      <c r="A68" s="3"/>
      <c r="B68" s="23"/>
      <c r="C68" s="17"/>
      <c r="D68" s="6"/>
      <c r="F68" s="2" t="s">
        <v>127</v>
      </c>
      <c r="G68" s="3" t="s">
        <v>108</v>
      </c>
      <c r="H68" s="17">
        <f>H61/TAN(H46/360*2*PI())/COS(H49/360*2*PI())</f>
        <v>10881.060502470391</v>
      </c>
      <c r="I68" s="5" t="s">
        <v>70</v>
      </c>
    </row>
    <row r="69" spans="1:9" x14ac:dyDescent="0.3">
      <c r="A69"/>
      <c r="F69" s="2" t="s">
        <v>129</v>
      </c>
      <c r="G69" s="3" t="s">
        <v>110</v>
      </c>
      <c r="H69" s="17">
        <f>(H63+H61-H68*SIN(H49/360*2*PI()))/SIN(H48/360*2*PI())</f>
        <v>5507.2810791816783</v>
      </c>
      <c r="I69" s="5" t="s">
        <v>70</v>
      </c>
    </row>
    <row r="70" spans="1:9" x14ac:dyDescent="0.3">
      <c r="A70"/>
      <c r="F70" s="2" t="s">
        <v>126</v>
      </c>
      <c r="G70" s="3" t="s">
        <v>112</v>
      </c>
      <c r="H70" s="17">
        <f>(H63+H61-H68*SIN(H49/360*2*PI()))/COS(H50/360*2*PI())/TAN(H47/360*2*PI())+H68*COS(H50/360*2*PI())/COS(H49/360*2*PI())</f>
        <v>16013.389403323792</v>
      </c>
      <c r="I70" s="5" t="s">
        <v>70</v>
      </c>
    </row>
    <row r="71" spans="1:9" ht="15" thickBot="1" x14ac:dyDescent="0.35">
      <c r="A71"/>
      <c r="F71" s="28" t="s">
        <v>128</v>
      </c>
      <c r="G71" s="25" t="s">
        <v>113</v>
      </c>
      <c r="H71" s="26">
        <f>(H65+H63+H61-H70*SIN(H50/360*2*PI()))/SIN(H48/360*2*PI())</f>
        <v>7846.6787778046019</v>
      </c>
      <c r="I71" s="27" t="s">
        <v>70</v>
      </c>
    </row>
    <row r="72" spans="1:9" x14ac:dyDescent="0.3">
      <c r="A72"/>
      <c r="F72"/>
      <c r="G72" s="6"/>
      <c r="H72" s="9"/>
      <c r="I72" s="6"/>
    </row>
    <row r="73" spans="1:9" ht="15" thickBot="1" x14ac:dyDescent="0.35">
      <c r="A73"/>
      <c r="F73"/>
    </row>
    <row r="74" spans="1:9" x14ac:dyDescent="0.3">
      <c r="A74" s="100" t="s">
        <v>130</v>
      </c>
      <c r="B74" s="101"/>
      <c r="C74" s="101"/>
      <c r="D74" s="102"/>
      <c r="F74" s="113" t="s">
        <v>130</v>
      </c>
      <c r="G74" s="114"/>
      <c r="H74" s="114"/>
      <c r="I74" s="115"/>
    </row>
    <row r="75" spans="1:9" ht="15.6" x14ac:dyDescent="0.35">
      <c r="A75" s="2" t="s">
        <v>131</v>
      </c>
      <c r="B75" s="3" t="s">
        <v>132</v>
      </c>
      <c r="C75" s="55">
        <f>H19/H11</f>
        <v>5423.6861565935724</v>
      </c>
      <c r="D75" s="5" t="s">
        <v>70</v>
      </c>
      <c r="F75" s="2" t="s">
        <v>135</v>
      </c>
      <c r="G75" s="6"/>
      <c r="H75" s="6" t="b">
        <f>IF(C81&gt;H45,TRUE,FALSE)</f>
        <v>1</v>
      </c>
      <c r="I75" s="5"/>
    </row>
    <row r="76" spans="1:9" ht="15.6" x14ac:dyDescent="0.35">
      <c r="A76" s="39"/>
      <c r="B76" s="3" t="s">
        <v>132</v>
      </c>
      <c r="C76" s="55">
        <f>C75/9.81</f>
        <v>552.87320658446197</v>
      </c>
      <c r="D76" s="5" t="s">
        <v>72</v>
      </c>
      <c r="F76" s="2" t="s">
        <v>136</v>
      </c>
      <c r="G76" s="6"/>
      <c r="H76" s="6" t="b">
        <f>IF(AND((H75=FALSE),(C81&gt;H42)),TRUE,FALSE)</f>
        <v>0</v>
      </c>
      <c r="I76" s="5"/>
    </row>
    <row r="77" spans="1:9" ht="15.6" x14ac:dyDescent="0.35">
      <c r="A77" s="2" t="s">
        <v>133</v>
      </c>
      <c r="B77" s="3" t="s">
        <v>134</v>
      </c>
      <c r="C77" s="55">
        <f>0.4*C75</f>
        <v>2169.474462637429</v>
      </c>
      <c r="D77" s="5" t="s">
        <v>70</v>
      </c>
      <c r="F77" s="2" t="s">
        <v>139</v>
      </c>
      <c r="G77" s="6"/>
      <c r="H77" s="6" t="b">
        <f>IF(C81&lt;H42,TRUE,FALSE)</f>
        <v>0</v>
      </c>
      <c r="I77" s="5"/>
    </row>
    <row r="78" spans="1:9" ht="15.6" x14ac:dyDescent="0.35">
      <c r="A78" s="39"/>
      <c r="B78" s="3" t="s">
        <v>134</v>
      </c>
      <c r="C78" s="55">
        <f>C77/9.81</f>
        <v>221.14928263378479</v>
      </c>
      <c r="D78" s="5" t="s">
        <v>72</v>
      </c>
      <c r="F78" s="35" t="s">
        <v>140</v>
      </c>
      <c r="G78" s="59" t="s">
        <v>119</v>
      </c>
      <c r="H78" s="37">
        <f>IF(H75=TRUE,C77*(C81-H45)/H40,0)</f>
        <v>132.7777759324249</v>
      </c>
      <c r="I78" s="38" t="s">
        <v>70</v>
      </c>
    </row>
    <row r="79" spans="1:9" ht="15.6" x14ac:dyDescent="0.35">
      <c r="A79" s="2" t="s">
        <v>137</v>
      </c>
      <c r="B79" s="3" t="s">
        <v>138</v>
      </c>
      <c r="C79" s="55">
        <f>0.33*C75</f>
        <v>1789.8164316758789</v>
      </c>
      <c r="D79" s="5" t="s">
        <v>70</v>
      </c>
      <c r="F79" s="2"/>
      <c r="G79" s="3"/>
      <c r="H79" s="17">
        <f>H78/9.81</f>
        <v>13.534941481388879</v>
      </c>
      <c r="I79" s="5" t="s">
        <v>72</v>
      </c>
    </row>
    <row r="80" spans="1:9" ht="15.6" x14ac:dyDescent="0.35">
      <c r="A80" s="39"/>
      <c r="B80" s="3" t="s">
        <v>138</v>
      </c>
      <c r="C80" s="55">
        <f>C79/9.81</f>
        <v>182.44815817287247</v>
      </c>
      <c r="D80" s="5" t="s">
        <v>72</v>
      </c>
      <c r="F80" s="2" t="s">
        <v>144</v>
      </c>
      <c r="G80" s="3" t="s">
        <v>120</v>
      </c>
      <c r="H80" s="55">
        <f>IF(H75=TRUE,C77-H78,(IF(H77=TRUE,0,C77*(C81-H42)/H41)))</f>
        <v>2036.6966867050041</v>
      </c>
      <c r="I80" s="5" t="s">
        <v>70</v>
      </c>
    </row>
    <row r="81" spans="1:9" ht="15.6" x14ac:dyDescent="0.35">
      <c r="A81" s="35" t="s">
        <v>141</v>
      </c>
      <c r="B81" s="36" t="s">
        <v>142</v>
      </c>
      <c r="C81" s="60">
        <f>C6*C20+C9-C18</f>
        <v>6.8700000000000019</v>
      </c>
      <c r="D81" s="61" t="s">
        <v>10</v>
      </c>
      <c r="F81" s="2"/>
      <c r="G81" s="3"/>
      <c r="H81" s="17">
        <f>H80/9.81</f>
        <v>207.61434115239592</v>
      </c>
      <c r="I81" s="5" t="s">
        <v>72</v>
      </c>
    </row>
    <row r="82" spans="1:9" x14ac:dyDescent="0.3">
      <c r="A82" s="2" t="s">
        <v>143</v>
      </c>
      <c r="B82" s="6"/>
      <c r="C82" s="3" t="b">
        <f>IF(C81&gt;C38,TRUE,FALSE)</f>
        <v>1</v>
      </c>
      <c r="D82" s="5"/>
      <c r="F82" s="2" t="s">
        <v>145</v>
      </c>
      <c r="G82" s="3" t="s">
        <v>146</v>
      </c>
      <c r="H82" s="17">
        <f>IF(H76=TRUE,C77-H80,IF(H77=TRUE,C77*C81/H42,0))</f>
        <v>0</v>
      </c>
      <c r="I82" s="5" t="s">
        <v>70</v>
      </c>
    </row>
    <row r="83" spans="1:9" x14ac:dyDescent="0.3">
      <c r="A83" s="2" t="s">
        <v>140</v>
      </c>
      <c r="B83" s="3" t="s">
        <v>120</v>
      </c>
      <c r="C83" s="17">
        <f>IF(C82=TRUE,C77*(C81-C38)/C37,0)</f>
        <v>647.80709585903855</v>
      </c>
      <c r="D83" s="5" t="s">
        <v>70</v>
      </c>
      <c r="F83" s="2"/>
      <c r="G83" s="3"/>
      <c r="H83" s="17">
        <f>H82/9.81</f>
        <v>0</v>
      </c>
      <c r="I83" s="5" t="s">
        <v>72</v>
      </c>
    </row>
    <row r="84" spans="1:9" x14ac:dyDescent="0.3">
      <c r="A84" s="2"/>
      <c r="B84" s="3"/>
      <c r="C84" s="17">
        <f>C83/9.81</f>
        <v>66.035381840880589</v>
      </c>
      <c r="D84" s="5" t="s">
        <v>72</v>
      </c>
      <c r="F84" s="2" t="s">
        <v>148</v>
      </c>
      <c r="G84" s="3" t="s">
        <v>149</v>
      </c>
      <c r="H84" s="17">
        <f>C79*H15/H42</f>
        <v>541.35358961648058</v>
      </c>
      <c r="I84" s="5" t="s">
        <v>70</v>
      </c>
    </row>
    <row r="85" spans="1:9" x14ac:dyDescent="0.3">
      <c r="A85" s="2" t="s">
        <v>147</v>
      </c>
      <c r="B85" s="3" t="s">
        <v>146</v>
      </c>
      <c r="C85" s="17">
        <f>IF(C82=TRUE,C77-C83,C77*C81/C38)</f>
        <v>1521.6673667783905</v>
      </c>
      <c r="D85" s="5" t="s">
        <v>70</v>
      </c>
      <c r="F85" s="2"/>
      <c r="G85" s="3"/>
      <c r="H85" s="17">
        <f>H84/9.81</f>
        <v>55.183852152546436</v>
      </c>
      <c r="I85" s="5" t="s">
        <v>72</v>
      </c>
    </row>
    <row r="86" spans="1:9" x14ac:dyDescent="0.3">
      <c r="A86" s="2"/>
      <c r="B86" s="3"/>
      <c r="C86" s="17">
        <f>C85/9.81</f>
        <v>155.11390079290422</v>
      </c>
      <c r="D86" s="5" t="s">
        <v>72</v>
      </c>
      <c r="F86" s="2" t="s">
        <v>151</v>
      </c>
      <c r="G86" s="3" t="s">
        <v>123</v>
      </c>
      <c r="H86" s="17">
        <f>H84+H82</f>
        <v>541.35358961648058</v>
      </c>
      <c r="I86" s="5" t="s">
        <v>70</v>
      </c>
    </row>
    <row r="87" spans="1:9" x14ac:dyDescent="0.3">
      <c r="A87" s="2" t="s">
        <v>150</v>
      </c>
      <c r="B87" s="3" t="s">
        <v>149</v>
      </c>
      <c r="C87" s="55">
        <f>C79*H15/C38</f>
        <v>321.08099886466351</v>
      </c>
      <c r="D87" s="5" t="s">
        <v>70</v>
      </c>
      <c r="F87" s="56"/>
      <c r="G87" s="21"/>
      <c r="H87" s="19">
        <f>H86/9.81</f>
        <v>55.183852152546436</v>
      </c>
      <c r="I87" s="48" t="s">
        <v>72</v>
      </c>
    </row>
    <row r="88" spans="1:9" x14ac:dyDescent="0.3">
      <c r="A88" s="2"/>
      <c r="B88" s="3"/>
      <c r="C88" s="17">
        <f>C87/9.81</f>
        <v>32.729969303227676</v>
      </c>
      <c r="D88" s="5" t="s">
        <v>72</v>
      </c>
      <c r="F88" s="35" t="s">
        <v>125</v>
      </c>
      <c r="G88" s="36" t="s">
        <v>107</v>
      </c>
      <c r="H88" s="37">
        <f>H78/SIN(H46/360*2*PI())</f>
        <v>712.57771943292437</v>
      </c>
      <c r="I88" s="38" t="s">
        <v>70</v>
      </c>
    </row>
    <row r="89" spans="1:9" x14ac:dyDescent="0.3">
      <c r="A89" s="2" t="s">
        <v>152</v>
      </c>
      <c r="B89" s="3" t="s">
        <v>123</v>
      </c>
      <c r="C89" s="17">
        <f>C85+C87</f>
        <v>1842.7483656430541</v>
      </c>
      <c r="D89" s="5" t="s">
        <v>70</v>
      </c>
      <c r="F89" s="2" t="s">
        <v>127</v>
      </c>
      <c r="G89" s="3" t="s">
        <v>108</v>
      </c>
      <c r="H89" s="17">
        <f>H78/TAN(H46/360*2*PI())/COS(H49/360*2*PI())</f>
        <v>701.21618203357741</v>
      </c>
      <c r="I89" s="5" t="s">
        <v>70</v>
      </c>
    </row>
    <row r="90" spans="1:9" x14ac:dyDescent="0.3">
      <c r="A90" s="12"/>
      <c r="B90" s="13"/>
      <c r="C90" s="19">
        <f>C89/9.81</f>
        <v>187.84387009613189</v>
      </c>
      <c r="D90" s="15" t="s">
        <v>72</v>
      </c>
      <c r="F90" s="2" t="s">
        <v>129</v>
      </c>
      <c r="G90" s="3" t="s">
        <v>110</v>
      </c>
      <c r="H90" s="17">
        <f>(H80+H78-H89*SIN(H49/360*2*PI()))/SIN(H48/360*2*PI())</f>
        <v>8111.4410012045309</v>
      </c>
      <c r="I90" s="5" t="s">
        <v>70</v>
      </c>
    </row>
    <row r="91" spans="1:9" x14ac:dyDescent="0.3">
      <c r="A91" s="2" t="s">
        <v>125</v>
      </c>
      <c r="B91" s="23" t="s">
        <v>110</v>
      </c>
      <c r="C91" s="17">
        <f>C83/SIN(C42/360*2*PI())</f>
        <v>3714.3543824137887</v>
      </c>
      <c r="D91" s="5" t="s">
        <v>70</v>
      </c>
      <c r="F91" s="2" t="s">
        <v>126</v>
      </c>
      <c r="G91" s="3" t="s">
        <v>112</v>
      </c>
      <c r="H91" s="17">
        <f>(H80+H78-H89*SIN(H49/360*2*PI()))/COS(H50/360*2*PI())/TAN(H47/360*2*PI())+H89*COS(H50/360*2*PI())/COS(H49/360*2*PI())</f>
        <v>8235.9269616414003</v>
      </c>
      <c r="I91" s="5" t="s">
        <v>70</v>
      </c>
    </row>
    <row r="92" spans="1:9" ht="15" thickBot="1" x14ac:dyDescent="0.35">
      <c r="A92" s="2" t="s">
        <v>126</v>
      </c>
      <c r="B92" s="23" t="s">
        <v>112</v>
      </c>
      <c r="C92" s="17">
        <f>C83/TAN(C42/360*2*PI())/COS(C41/360*2*PI())</f>
        <v>3657.4272986227893</v>
      </c>
      <c r="D92" s="5" t="s">
        <v>70</v>
      </c>
      <c r="F92" s="28" t="s">
        <v>153</v>
      </c>
      <c r="G92" s="25" t="s">
        <v>113</v>
      </c>
      <c r="H92" s="26">
        <f>(H86+H80+H78-H91*SIN(H50/360*2*PI()))/SIN(H48/360*2*PI())</f>
        <v>10323.88504585338</v>
      </c>
      <c r="I92" s="27" t="s">
        <v>70</v>
      </c>
    </row>
    <row r="93" spans="1:9" ht="15" thickBot="1" x14ac:dyDescent="0.35">
      <c r="A93" s="28" t="s">
        <v>128</v>
      </c>
      <c r="B93" s="41" t="s">
        <v>113</v>
      </c>
      <c r="C93" s="26">
        <f>(C89+C83-C92*SIN(C41/360*2*PI()))/SIN(C43/360*2*PI())</f>
        <v>14619.431385672206</v>
      </c>
      <c r="D93" s="27" t="s">
        <v>70</v>
      </c>
    </row>
    <row r="94" spans="1:9" x14ac:dyDescent="0.3">
      <c r="A94" s="3"/>
      <c r="B94" s="23"/>
      <c r="C94" s="17"/>
      <c r="D94" s="6"/>
    </row>
    <row r="95" spans="1:9" ht="15" thickBot="1" x14ac:dyDescent="0.35">
      <c r="A95" s="23"/>
      <c r="B95" s="6"/>
      <c r="C95" s="9"/>
      <c r="D95" s="54"/>
    </row>
    <row r="96" spans="1:9" x14ac:dyDescent="0.3">
      <c r="A96" s="113" t="s">
        <v>154</v>
      </c>
      <c r="B96" s="114"/>
      <c r="C96" s="114"/>
      <c r="D96" s="115"/>
      <c r="F96" s="113" t="s">
        <v>156</v>
      </c>
      <c r="G96" s="114"/>
      <c r="H96" s="114"/>
      <c r="I96" s="115"/>
    </row>
    <row r="97" spans="1:9" x14ac:dyDescent="0.3">
      <c r="A97" s="16" t="s">
        <v>155</v>
      </c>
      <c r="B97" s="23" t="s">
        <v>110</v>
      </c>
      <c r="C97" s="17">
        <f>MAX(C91,C65)</f>
        <v>11813.601615718842</v>
      </c>
      <c r="D97" s="43" t="s">
        <v>70</v>
      </c>
      <c r="F97" s="16" t="s">
        <v>155</v>
      </c>
      <c r="G97" s="23" t="s">
        <v>107</v>
      </c>
      <c r="H97" s="62">
        <f>MAX(H88,H67)</f>
        <v>11057.36216094731</v>
      </c>
      <c r="I97" s="63" t="s">
        <v>70</v>
      </c>
    </row>
    <row r="98" spans="1:9" x14ac:dyDescent="0.3">
      <c r="A98" s="16"/>
      <c r="B98" s="23" t="s">
        <v>112</v>
      </c>
      <c r="C98" s="17">
        <f>MAX(C92,C66)</f>
        <v>11632.54353137567</v>
      </c>
      <c r="D98" s="43" t="s">
        <v>70</v>
      </c>
      <c r="F98" s="64"/>
      <c r="G98" s="23" t="s">
        <v>108</v>
      </c>
      <c r="H98" s="62">
        <f>MAX(H89,H68)</f>
        <v>10881.060502470391</v>
      </c>
      <c r="I98" s="63" t="s">
        <v>70</v>
      </c>
    </row>
    <row r="99" spans="1:9" x14ac:dyDescent="0.3">
      <c r="A99" s="39"/>
      <c r="B99" s="23" t="s">
        <v>113</v>
      </c>
      <c r="C99" s="17">
        <f>MAX(C93,C67)</f>
        <v>14619.431385672206</v>
      </c>
      <c r="D99" s="43" t="s">
        <v>70</v>
      </c>
      <c r="F99" s="64"/>
      <c r="G99" s="23" t="s">
        <v>110</v>
      </c>
      <c r="H99" s="62">
        <f>MAX(H90,H69)</f>
        <v>8111.4410012045309</v>
      </c>
      <c r="I99" s="63" t="s">
        <v>70</v>
      </c>
    </row>
    <row r="100" spans="1:9" x14ac:dyDescent="0.3">
      <c r="A100" s="35" t="s">
        <v>68</v>
      </c>
      <c r="B100" s="36" t="s">
        <v>157</v>
      </c>
      <c r="C100" s="37">
        <f>MAX(C97,C98)*3</f>
        <v>35440.804847156527</v>
      </c>
      <c r="D100" s="38" t="s">
        <v>70</v>
      </c>
      <c r="F100" s="64"/>
      <c r="G100" s="23" t="s">
        <v>112</v>
      </c>
      <c r="H100" s="62">
        <f>MAX(H91,H70)</f>
        <v>16013.389403323792</v>
      </c>
      <c r="I100" s="63" t="s">
        <v>70</v>
      </c>
    </row>
    <row r="101" spans="1:9" x14ac:dyDescent="0.3">
      <c r="A101" s="12"/>
      <c r="B101" s="50" t="s">
        <v>113</v>
      </c>
      <c r="C101" s="19">
        <f>IF(C48="single",2.8*C99,2.5*C99)</f>
        <v>40934.407879882172</v>
      </c>
      <c r="D101" s="15" t="s">
        <v>70</v>
      </c>
      <c r="F101" s="64"/>
      <c r="G101" s="23" t="s">
        <v>113</v>
      </c>
      <c r="H101" s="62">
        <f>MAX(H92,H71)</f>
        <v>10323.88504585338</v>
      </c>
      <c r="I101" s="63" t="s">
        <v>70</v>
      </c>
    </row>
    <row r="102" spans="1:9" x14ac:dyDescent="0.3">
      <c r="A102" s="35" t="s">
        <v>68</v>
      </c>
      <c r="B102" s="36" t="s">
        <v>157</v>
      </c>
      <c r="C102" s="65">
        <f>C100/9.81</f>
        <v>3612.7222066418476</v>
      </c>
      <c r="D102" s="38" t="s">
        <v>72</v>
      </c>
      <c r="F102" s="67" t="s">
        <v>68</v>
      </c>
      <c r="G102" s="36" t="s">
        <v>158</v>
      </c>
      <c r="H102" s="68">
        <f>MAX(3*H97,3*H98)</f>
        <v>33172.086482841929</v>
      </c>
      <c r="I102" s="61" t="s">
        <v>70</v>
      </c>
    </row>
    <row r="103" spans="1:9" ht="15" thickBot="1" x14ac:dyDescent="0.35">
      <c r="A103" s="24"/>
      <c r="B103" s="41" t="s">
        <v>113</v>
      </c>
      <c r="C103" s="66">
        <f>C101/9.81</f>
        <v>4172.722515788193</v>
      </c>
      <c r="D103" s="27" t="s">
        <v>72</v>
      </c>
      <c r="F103" s="16"/>
      <c r="G103" s="23" t="s">
        <v>110</v>
      </c>
      <c r="H103" s="69">
        <f>2.3*H99</f>
        <v>18656.314302770421</v>
      </c>
      <c r="I103" s="43" t="s">
        <v>70</v>
      </c>
    </row>
    <row r="104" spans="1:9" x14ac:dyDescent="0.3">
      <c r="A104"/>
      <c r="F104" s="16"/>
      <c r="G104" s="23" t="s">
        <v>112</v>
      </c>
      <c r="H104" s="69">
        <f>3.2*H100</f>
        <v>51242.846090636136</v>
      </c>
      <c r="I104" s="43" t="s">
        <v>70</v>
      </c>
    </row>
    <row r="105" spans="1:9" x14ac:dyDescent="0.3">
      <c r="A105"/>
      <c r="F105" s="18"/>
      <c r="G105" s="50" t="s">
        <v>113</v>
      </c>
      <c r="H105" s="70">
        <f>IF(H57="single",2.8*H101,2.5*H101)</f>
        <v>28906.87812838946</v>
      </c>
      <c r="I105" s="48" t="s">
        <v>70</v>
      </c>
    </row>
    <row r="106" spans="1:9" x14ac:dyDescent="0.3">
      <c r="A106"/>
      <c r="F106" s="67" t="s">
        <v>68</v>
      </c>
      <c r="G106" s="36" t="s">
        <v>158</v>
      </c>
      <c r="H106" s="65">
        <f>H102/9.81</f>
        <v>3381.4563183325104</v>
      </c>
      <c r="I106" s="61" t="s">
        <v>72</v>
      </c>
    </row>
    <row r="107" spans="1:9" x14ac:dyDescent="0.3">
      <c r="A107"/>
      <c r="F107" s="16"/>
      <c r="G107" s="23" t="s">
        <v>110</v>
      </c>
      <c r="H107" s="40">
        <f>H103/9.81</f>
        <v>1901.7649646045281</v>
      </c>
      <c r="I107" s="43" t="s">
        <v>72</v>
      </c>
    </row>
    <row r="108" spans="1:9" x14ac:dyDescent="0.3">
      <c r="A108"/>
      <c r="F108" s="16"/>
      <c r="G108" s="23" t="s">
        <v>112</v>
      </c>
      <c r="H108" s="40">
        <f>H104/9.81</f>
        <v>5223.5317115837033</v>
      </c>
      <c r="I108" s="43" t="s">
        <v>72</v>
      </c>
    </row>
    <row r="109" spans="1:9" ht="15" thickBot="1" x14ac:dyDescent="0.35">
      <c r="A109"/>
      <c r="F109" s="24"/>
      <c r="G109" s="41" t="s">
        <v>113</v>
      </c>
      <c r="H109" s="66">
        <f>H105/9.81</f>
        <v>2946.6746308246134</v>
      </c>
      <c r="I109" s="71" t="s">
        <v>72</v>
      </c>
    </row>
    <row r="110" spans="1:9" x14ac:dyDescent="0.3">
      <c r="A110"/>
    </row>
    <row r="111" spans="1:9" ht="15" thickBot="1" x14ac:dyDescent="0.35">
      <c r="A111"/>
      <c r="F111"/>
    </row>
    <row r="112" spans="1:9" x14ac:dyDescent="0.3">
      <c r="A112" s="125" t="s">
        <v>159</v>
      </c>
      <c r="B112" s="126"/>
      <c r="C112" s="126"/>
      <c r="D112" s="127"/>
      <c r="F112" s="125" t="s">
        <v>159</v>
      </c>
      <c r="G112" s="126"/>
      <c r="H112" s="126"/>
      <c r="I112" s="127"/>
    </row>
    <row r="113" spans="1:9" x14ac:dyDescent="0.3">
      <c r="A113" s="2" t="s">
        <v>160</v>
      </c>
      <c r="B113" s="3" t="s">
        <v>161</v>
      </c>
      <c r="C113" s="55">
        <f>1.5*H19/C19</f>
        <v>38267.205084000001</v>
      </c>
      <c r="D113" s="5" t="s">
        <v>70</v>
      </c>
      <c r="E113" s="6"/>
      <c r="F113" s="2" t="s">
        <v>162</v>
      </c>
      <c r="G113" s="3" t="s">
        <v>164</v>
      </c>
      <c r="H113" s="6">
        <f>IF(ong="masthead",2.7*C117,2.6*C117)</f>
        <v>3.6450000000000005</v>
      </c>
      <c r="I113" s="5" t="s">
        <v>47</v>
      </c>
    </row>
    <row r="114" spans="1:9" x14ac:dyDescent="0.3">
      <c r="A114" s="39"/>
      <c r="B114" s="6"/>
      <c r="C114" s="17">
        <f>C113/9.81</f>
        <v>3900.8364000000001</v>
      </c>
      <c r="D114" s="43" t="s">
        <v>72</v>
      </c>
      <c r="E114" s="6"/>
      <c r="F114" s="39"/>
      <c r="G114" s="3" t="s">
        <v>175</v>
      </c>
      <c r="H114" s="6">
        <f>IF(ong="masthead",3.8,3.6)</f>
        <v>3.8</v>
      </c>
      <c r="I114" s="5" t="s">
        <v>47</v>
      </c>
    </row>
    <row r="115" spans="1:9" ht="16.2" x14ac:dyDescent="0.3">
      <c r="A115" s="2" t="s">
        <v>162</v>
      </c>
      <c r="B115" s="3" t="s">
        <v>163</v>
      </c>
      <c r="C115" s="6">
        <f>IF(ong="masthead",3.5,3.35)</f>
        <v>3.5</v>
      </c>
      <c r="D115" s="5" t="s">
        <v>47</v>
      </c>
      <c r="E115" s="6"/>
      <c r="F115" s="39"/>
      <c r="G115" s="3" t="s">
        <v>178</v>
      </c>
      <c r="H115" s="40">
        <f>H114*H40^2*(C113-(H92*COS(H48/360*2*PI())+H90*COS(H47/360*2*PI())))/10000</f>
        <v>138.60728199418449</v>
      </c>
      <c r="I115" s="5" t="s">
        <v>169</v>
      </c>
    </row>
    <row r="116" spans="1:9" ht="16.2" x14ac:dyDescent="0.3">
      <c r="A116" s="2"/>
      <c r="B116" s="3" t="s">
        <v>164</v>
      </c>
      <c r="C116" s="6">
        <f>IF(ong="masthead",2.5*C117,2.4*C117)</f>
        <v>3.375</v>
      </c>
      <c r="D116" s="5" t="s">
        <v>47</v>
      </c>
      <c r="F116" s="39"/>
      <c r="G116" s="3" t="s">
        <v>168</v>
      </c>
      <c r="H116" s="40">
        <f>H114*(H41^2)*(C113-H92*COS(H48/360*2*PI()))/10000</f>
        <v>134.56930793475891</v>
      </c>
      <c r="I116" s="5" t="s">
        <v>169</v>
      </c>
    </row>
    <row r="117" spans="1:9" ht="16.8" thickBot="1" x14ac:dyDescent="0.35">
      <c r="A117" s="2" t="s">
        <v>185</v>
      </c>
      <c r="B117" s="3" t="s">
        <v>165</v>
      </c>
      <c r="C117" s="6">
        <v>1.35</v>
      </c>
      <c r="D117" s="5" t="s">
        <v>166</v>
      </c>
      <c r="F117" s="28"/>
      <c r="G117" s="25" t="s">
        <v>171</v>
      </c>
      <c r="H117" s="66">
        <f>C113*H113*H42^2/10000</f>
        <v>131.86972899725174</v>
      </c>
      <c r="I117" s="27" t="s">
        <v>169</v>
      </c>
    </row>
    <row r="118" spans="1:9" ht="16.2" x14ac:dyDescent="0.3">
      <c r="A118" s="2" t="s">
        <v>167</v>
      </c>
      <c r="B118" s="3" t="s">
        <v>168</v>
      </c>
      <c r="C118" s="40">
        <f>(C117*C115*(C113-C93*COS(C43/360*2*PI()))*C37^2)/10000</f>
        <v>359.3843800203386</v>
      </c>
      <c r="D118" s="5" t="s">
        <v>169</v>
      </c>
      <c r="F118" s="125" t="s">
        <v>172</v>
      </c>
      <c r="G118" s="126"/>
      <c r="H118" s="126"/>
      <c r="I118" s="127"/>
    </row>
    <row r="119" spans="1:9" ht="16.8" thickBot="1" x14ac:dyDescent="0.35">
      <c r="A119" s="28" t="s">
        <v>170</v>
      </c>
      <c r="B119" s="25" t="s">
        <v>171</v>
      </c>
      <c r="C119" s="66">
        <f>C116*C113*C38^2/10000</f>
        <v>347.0996607125785</v>
      </c>
      <c r="D119" s="27" t="s">
        <v>169</v>
      </c>
      <c r="F119" s="2" t="s">
        <v>173</v>
      </c>
      <c r="G119" s="3" t="s">
        <v>174</v>
      </c>
      <c r="H119" s="6">
        <f>IF(ong="masthead",0.9,IF(H56="none",0.95,IF(H56="run &amp; cs",0.9,0.85)))</f>
        <v>0.9</v>
      </c>
      <c r="I119" s="5" t="s">
        <v>47</v>
      </c>
    </row>
    <row r="120" spans="1:9" ht="16.8" thickBot="1" x14ac:dyDescent="0.35">
      <c r="A120" s="125" t="s">
        <v>172</v>
      </c>
      <c r="B120" s="126"/>
      <c r="C120" s="126"/>
      <c r="D120" s="127"/>
      <c r="F120" s="28"/>
      <c r="G120" s="25" t="s">
        <v>179</v>
      </c>
      <c r="H120" s="66">
        <f>H119*C117*C113*(C7-C18)^2/10000</f>
        <v>545.3306844307773</v>
      </c>
      <c r="I120" s="27" t="s">
        <v>169</v>
      </c>
    </row>
    <row r="121" spans="1:9" x14ac:dyDescent="0.3">
      <c r="A121" s="2" t="s">
        <v>173</v>
      </c>
      <c r="B121" s="3" t="s">
        <v>174</v>
      </c>
      <c r="C121" s="6">
        <f>IF(ong="masthead",0.85,IF(C47="none",1,IF(C47="run &amp; cs",0.95,0.8)))</f>
        <v>0.85</v>
      </c>
      <c r="D121" s="5" t="s">
        <v>47</v>
      </c>
    </row>
    <row r="122" spans="1:9" ht="16.8" thickBot="1" x14ac:dyDescent="0.35">
      <c r="A122" s="28" t="s">
        <v>176</v>
      </c>
      <c r="B122" s="25" t="s">
        <v>177</v>
      </c>
      <c r="C122" s="66">
        <f>C121*C117*C113*(C38+C37)^2/10000</f>
        <v>515.03453529573414</v>
      </c>
      <c r="D122" s="27" t="s">
        <v>169</v>
      </c>
    </row>
    <row r="123" spans="1:9" x14ac:dyDescent="0.3">
      <c r="A123"/>
    </row>
    <row r="124" spans="1:9" ht="15" thickBot="1" x14ac:dyDescent="0.35">
      <c r="A124"/>
    </row>
    <row r="125" spans="1:9" x14ac:dyDescent="0.3">
      <c r="A125" s="122" t="s">
        <v>191</v>
      </c>
      <c r="B125" s="123"/>
      <c r="C125" s="123"/>
      <c r="D125" s="124"/>
      <c r="F125" s="122" t="s">
        <v>191</v>
      </c>
      <c r="G125" s="123"/>
      <c r="H125" s="123"/>
      <c r="I125" s="124"/>
    </row>
    <row r="126" spans="1:9" x14ac:dyDescent="0.3">
      <c r="A126" s="2" t="s">
        <v>68</v>
      </c>
      <c r="B126" s="23" t="s">
        <v>157</v>
      </c>
      <c r="C126" s="69">
        <f>C102</f>
        <v>3612.7222066418476</v>
      </c>
      <c r="D126" s="5" t="s">
        <v>72</v>
      </c>
      <c r="F126" s="2" t="s">
        <v>68</v>
      </c>
      <c r="G126" s="23" t="s">
        <v>158</v>
      </c>
      <c r="H126" s="69">
        <f>H106</f>
        <v>3381.4563183325104</v>
      </c>
      <c r="I126" s="5" t="s">
        <v>72</v>
      </c>
    </row>
    <row r="127" spans="1:9" x14ac:dyDescent="0.3">
      <c r="A127" s="2"/>
      <c r="B127" s="23" t="s">
        <v>113</v>
      </c>
      <c r="C127" s="69">
        <f>C103</f>
        <v>4172.722515788193</v>
      </c>
      <c r="D127" s="5" t="s">
        <v>72</v>
      </c>
      <c r="F127" s="2"/>
      <c r="G127" s="23" t="s">
        <v>110</v>
      </c>
      <c r="H127" s="69">
        <f t="shared" ref="H127:H129" si="1">H107</f>
        <v>1901.7649646045281</v>
      </c>
      <c r="I127" s="5" t="s">
        <v>72</v>
      </c>
    </row>
    <row r="128" spans="1:9" x14ac:dyDescent="0.3">
      <c r="A128" s="2"/>
      <c r="B128" s="3" t="s">
        <v>69</v>
      </c>
      <c r="C128" s="17">
        <f>C27</f>
        <v>3150.4089807785499</v>
      </c>
      <c r="D128" s="5" t="s">
        <v>72</v>
      </c>
      <c r="F128" s="2"/>
      <c r="G128" s="23" t="s">
        <v>112</v>
      </c>
      <c r="H128" s="69">
        <f t="shared" si="1"/>
        <v>5223.5317115837033</v>
      </c>
      <c r="I128" s="5" t="s">
        <v>72</v>
      </c>
    </row>
    <row r="129" spans="1:9" x14ac:dyDescent="0.3">
      <c r="A129" s="2"/>
      <c r="B129" s="3" t="s">
        <v>81</v>
      </c>
      <c r="C129" s="17">
        <f>C31</f>
        <v>1890.5992592015973</v>
      </c>
      <c r="D129" s="5" t="s">
        <v>72</v>
      </c>
      <c r="F129" s="2"/>
      <c r="G129" s="23" t="s">
        <v>113</v>
      </c>
      <c r="H129" s="69">
        <f t="shared" si="1"/>
        <v>2946.6746308246134</v>
      </c>
      <c r="I129" s="5" t="s">
        <v>72</v>
      </c>
    </row>
    <row r="130" spans="1:9" x14ac:dyDescent="0.3">
      <c r="A130" s="35" t="s">
        <v>194</v>
      </c>
      <c r="B130" s="59" t="s">
        <v>115</v>
      </c>
      <c r="C130" s="84" t="s">
        <v>183</v>
      </c>
      <c r="D130" s="38"/>
      <c r="F130" s="2"/>
      <c r="G130" s="3" t="s">
        <v>69</v>
      </c>
      <c r="H130" s="17">
        <f>C128</f>
        <v>3150.4089807785499</v>
      </c>
      <c r="I130" s="5" t="s">
        <v>72</v>
      </c>
    </row>
    <row r="131" spans="1:9" x14ac:dyDescent="0.3">
      <c r="A131" s="2" t="s">
        <v>195</v>
      </c>
      <c r="B131" s="23" t="s">
        <v>157</v>
      </c>
      <c r="C131" s="98">
        <f ca="1">INDEX(INDIRECT($C$130),MATCH(C126,INDIRECT(CONCATENATE("i",$C$130)),-1),5)</f>
        <v>7</v>
      </c>
      <c r="D131" s="5" t="s">
        <v>196</v>
      </c>
      <c r="F131" s="2"/>
      <c r="G131" s="3" t="s">
        <v>81</v>
      </c>
      <c r="H131" s="17">
        <f>C129</f>
        <v>1890.5992592015973</v>
      </c>
      <c r="I131" s="5" t="s">
        <v>72</v>
      </c>
    </row>
    <row r="132" spans="1:9" x14ac:dyDescent="0.3">
      <c r="A132" s="2"/>
      <c r="B132" s="23" t="s">
        <v>113</v>
      </c>
      <c r="C132" s="98">
        <f ca="1">INDEX(INDIRECT($C$130),MATCH(C127,INDIRECT(CONCATENATE("i",$C$130)),-1),5)</f>
        <v>7</v>
      </c>
      <c r="D132" s="5" t="s">
        <v>196</v>
      </c>
      <c r="F132" s="35" t="s">
        <v>194</v>
      </c>
      <c r="G132" s="59" t="s">
        <v>115</v>
      </c>
      <c r="H132" s="84" t="s">
        <v>200</v>
      </c>
      <c r="I132" s="38"/>
    </row>
    <row r="133" spans="1:9" x14ac:dyDescent="0.3">
      <c r="A133" s="2"/>
      <c r="B133" s="3" t="s">
        <v>69</v>
      </c>
      <c r="C133" s="98">
        <f ca="1">INDEX(INDIRECT($C$130),MATCH(C128,INDIRECT(CONCATENATE("i",$C$130)),-1),5)</f>
        <v>6</v>
      </c>
      <c r="D133" s="5" t="s">
        <v>196</v>
      </c>
      <c r="F133" s="2" t="s">
        <v>195</v>
      </c>
      <c r="G133" s="23" t="s">
        <v>158</v>
      </c>
      <c r="H133" s="98">
        <f t="shared" ref="H133:H138" ca="1" si="2">INDEX(INDIRECT($H$132),MATCH(H126,INDIRECT(CONCATENATE("i",$H$132)),-1),5)</f>
        <v>7</v>
      </c>
      <c r="I133" s="5" t="s">
        <v>196</v>
      </c>
    </row>
    <row r="134" spans="1:9" x14ac:dyDescent="0.3">
      <c r="A134" s="12"/>
      <c r="B134" s="13" t="s">
        <v>81</v>
      </c>
      <c r="C134" s="99">
        <f ca="1">INDEX(INDIRECT($C$130),MATCH(C129,INDIRECT(CONCATENATE("i",$C$130)),-1),5)</f>
        <v>5</v>
      </c>
      <c r="D134" s="15" t="s">
        <v>196</v>
      </c>
      <c r="F134" s="2"/>
      <c r="G134" s="23" t="s">
        <v>110</v>
      </c>
      <c r="H134" s="98">
        <f t="shared" ca="1" si="2"/>
        <v>5</v>
      </c>
      <c r="I134" s="5" t="s">
        <v>196</v>
      </c>
    </row>
    <row r="135" spans="1:9" x14ac:dyDescent="0.3">
      <c r="A135" s="35" t="s">
        <v>197</v>
      </c>
      <c r="B135" s="36" t="s">
        <v>157</v>
      </c>
      <c r="C135" s="9">
        <f ca="1">INDEX(INDIRECT($C$130),MATCH(C126,INDIRECT(CONCATENATE("i",$C$130)),-1),2)</f>
        <v>0.26</v>
      </c>
      <c r="D135" s="38" t="s">
        <v>180</v>
      </c>
      <c r="F135" s="2"/>
      <c r="G135" s="23" t="s">
        <v>112</v>
      </c>
      <c r="H135" s="98">
        <f t="shared" ca="1" si="2"/>
        <v>10</v>
      </c>
      <c r="I135" s="5" t="s">
        <v>196</v>
      </c>
    </row>
    <row r="136" spans="1:9" x14ac:dyDescent="0.3">
      <c r="A136" s="2"/>
      <c r="B136" s="23" t="s">
        <v>113</v>
      </c>
      <c r="C136" s="9">
        <f ca="1">INDEX(INDIRECT($C$130),MATCH(C127,INDIRECT(CONCATENATE("i",$C$130)),-1),2)</f>
        <v>0.26</v>
      </c>
      <c r="D136" s="5" t="s">
        <v>180</v>
      </c>
      <c r="F136" s="2"/>
      <c r="G136" s="23" t="s">
        <v>113</v>
      </c>
      <c r="H136" s="98">
        <f t="shared" ca="1" si="2"/>
        <v>7</v>
      </c>
      <c r="I136" s="5" t="s">
        <v>196</v>
      </c>
    </row>
    <row r="137" spans="1:9" x14ac:dyDescent="0.3">
      <c r="A137" s="2"/>
      <c r="B137" s="3" t="s">
        <v>69</v>
      </c>
      <c r="C137" s="9">
        <f ca="1">INDEX(INDIRECT($C$130),MATCH(C128,INDIRECT(CONCATENATE("i",$C$130)),-1),2)</f>
        <v>0.19399999999999998</v>
      </c>
      <c r="D137" s="5" t="s">
        <v>180</v>
      </c>
      <c r="F137" s="2"/>
      <c r="G137" s="3" t="s">
        <v>69</v>
      </c>
      <c r="H137" s="98">
        <f t="shared" ca="1" si="2"/>
        <v>7</v>
      </c>
      <c r="I137" s="5" t="s">
        <v>196</v>
      </c>
    </row>
    <row r="138" spans="1:9" x14ac:dyDescent="0.3">
      <c r="A138" s="12"/>
      <c r="B138" s="13" t="s">
        <v>81</v>
      </c>
      <c r="C138" s="22">
        <f ca="1">INDEX(INDIRECT($C$130),MATCH(C129,INDIRECT(CONCATENATE("i",$C$130)),-1),2)</f>
        <v>0.13500000000000001</v>
      </c>
      <c r="D138" s="15" t="s">
        <v>180</v>
      </c>
      <c r="F138" s="2"/>
      <c r="G138" s="3" t="s">
        <v>81</v>
      </c>
      <c r="H138" s="98">
        <f t="shared" ca="1" si="2"/>
        <v>5</v>
      </c>
      <c r="I138" s="5" t="s">
        <v>196</v>
      </c>
    </row>
    <row r="139" spans="1:9" x14ac:dyDescent="0.3">
      <c r="A139" s="35" t="s">
        <v>201</v>
      </c>
      <c r="B139" s="36" t="s">
        <v>157</v>
      </c>
      <c r="C139" s="9">
        <f ca="1">INDEX(INDIRECT($C$130),MATCH(C126,INDIRECT(CONCATENATE("i",$C$130)),-1),3)</f>
        <v>19.625</v>
      </c>
      <c r="D139" s="38" t="s">
        <v>202</v>
      </c>
      <c r="F139" s="35" t="s">
        <v>197</v>
      </c>
      <c r="G139" s="36" t="s">
        <v>158</v>
      </c>
      <c r="H139" s="93">
        <f t="shared" ref="H139:H144" ca="1" si="3">INDEX(INDIRECT($H$132),MATCH(H126,INDIRECT(CONCATENATE("i",$H$132)),-1),2)</f>
        <v>0.23899999999999999</v>
      </c>
      <c r="I139" s="38" t="s">
        <v>180</v>
      </c>
    </row>
    <row r="140" spans="1:9" x14ac:dyDescent="0.3">
      <c r="A140" s="2"/>
      <c r="B140" s="23" t="s">
        <v>113</v>
      </c>
      <c r="C140" s="9">
        <f ca="1">INDEX(INDIRECT($C$130),MATCH(C127,INDIRECT(CONCATENATE("i",$C$130)),-1),3)</f>
        <v>19.625</v>
      </c>
      <c r="D140" s="5" t="s">
        <v>202</v>
      </c>
      <c r="F140" s="2"/>
      <c r="G140" s="23" t="s">
        <v>110</v>
      </c>
      <c r="H140" s="31">
        <f t="shared" ca="1" si="3"/>
        <v>0.122</v>
      </c>
      <c r="I140" s="5" t="s">
        <v>180</v>
      </c>
    </row>
    <row r="141" spans="1:9" x14ac:dyDescent="0.3">
      <c r="A141" s="2"/>
      <c r="B141" s="3" t="s">
        <v>69</v>
      </c>
      <c r="C141" s="9">
        <f ca="1">INDEX(INDIRECT($C$130),MATCH(C128,INDIRECT(CONCATENATE("i",$C$130)),-1),3)</f>
        <v>12.75</v>
      </c>
      <c r="D141" s="5" t="s">
        <v>202</v>
      </c>
      <c r="F141" s="2"/>
      <c r="G141" s="23" t="s">
        <v>112</v>
      </c>
      <c r="H141" s="31">
        <f t="shared" ca="1" si="3"/>
        <v>0.48799999999999999</v>
      </c>
      <c r="I141" s="5" t="s">
        <v>180</v>
      </c>
    </row>
    <row r="142" spans="1:9" x14ac:dyDescent="0.3">
      <c r="A142" s="12"/>
      <c r="B142" s="13" t="s">
        <v>81</v>
      </c>
      <c r="C142" s="22">
        <f ca="1">INDEX(INDIRECT($C$130),MATCH(C129,INDIRECT(CONCATENATE("i",$C$130)),-1),3)</f>
        <v>9.5</v>
      </c>
      <c r="D142" s="15" t="s">
        <v>202</v>
      </c>
      <c r="F142" s="2"/>
      <c r="G142" s="23" t="s">
        <v>113</v>
      </c>
      <c r="H142" s="31">
        <f t="shared" ca="1" si="3"/>
        <v>0.23899999999999999</v>
      </c>
      <c r="I142" s="5" t="s">
        <v>180</v>
      </c>
    </row>
    <row r="143" spans="1:9" ht="16.2" x14ac:dyDescent="0.3">
      <c r="A143" s="2" t="s">
        <v>198</v>
      </c>
      <c r="B143" s="23" t="s">
        <v>157</v>
      </c>
      <c r="C143" s="44">
        <f ca="1">INDEX(INDIRECT($C$130),MATCH(C126,INDIRECT(CONCATENATE("i",$C$130)),-1),4)</f>
        <v>0.7</v>
      </c>
      <c r="D143" s="43" t="s">
        <v>199</v>
      </c>
      <c r="F143" s="2"/>
      <c r="G143" s="3" t="s">
        <v>69</v>
      </c>
      <c r="H143" s="31">
        <f t="shared" ca="1" si="3"/>
        <v>0.23899999999999999</v>
      </c>
      <c r="I143" s="5" t="s">
        <v>180</v>
      </c>
    </row>
    <row r="144" spans="1:9" ht="16.2" x14ac:dyDescent="0.3">
      <c r="A144" s="2"/>
      <c r="B144" s="23" t="s">
        <v>113</v>
      </c>
      <c r="C144" s="44">
        <f ca="1">INDEX(INDIRECT($C$130),MATCH(C127,INDIRECT(CONCATENATE("i",$C$130)),-1),4)</f>
        <v>0.7</v>
      </c>
      <c r="D144" s="43" t="s">
        <v>199</v>
      </c>
      <c r="F144" s="2"/>
      <c r="G144" s="3" t="s">
        <v>81</v>
      </c>
      <c r="H144" s="31">
        <f t="shared" ca="1" si="3"/>
        <v>0.122</v>
      </c>
      <c r="I144" s="5" t="s">
        <v>180</v>
      </c>
    </row>
    <row r="145" spans="1:9" ht="16.2" x14ac:dyDescent="0.3">
      <c r="A145" s="2"/>
      <c r="B145" s="3" t="s">
        <v>69</v>
      </c>
      <c r="C145" s="44">
        <f ca="1">INDEX(INDIRECT($C$130),MATCH(C128,INDIRECT(CONCATENATE("i",$C$130)),-1),4)</f>
        <v>0.6</v>
      </c>
      <c r="D145" s="43" t="s">
        <v>199</v>
      </c>
      <c r="F145" s="35" t="s">
        <v>201</v>
      </c>
      <c r="G145" s="36" t="s">
        <v>158</v>
      </c>
      <c r="H145" s="81">
        <f t="shared" ref="H145:H150" ca="1" si="4">INDEX(INDIRECT($H$132),MATCH(H126,INDIRECT(CONCATENATE("i",$H$132)),-1),3)</f>
        <v>7.85</v>
      </c>
      <c r="I145" s="38" t="s">
        <v>202</v>
      </c>
    </row>
    <row r="146" spans="1:9" ht="16.2" x14ac:dyDescent="0.3">
      <c r="A146" s="2"/>
      <c r="B146" s="13" t="s">
        <v>81</v>
      </c>
      <c r="C146" s="44">
        <f ca="1">INDEX(INDIRECT($C$130),MATCH(C129,INDIRECT(CONCATENATE("i",$C$130)),-1),4)</f>
        <v>0.5</v>
      </c>
      <c r="D146" s="43" t="s">
        <v>199</v>
      </c>
      <c r="F146" s="2"/>
      <c r="G146" s="23" t="s">
        <v>110</v>
      </c>
      <c r="H146" s="9">
        <f t="shared" ca="1" si="4"/>
        <v>3.8</v>
      </c>
      <c r="I146" s="5" t="s">
        <v>202</v>
      </c>
    </row>
    <row r="147" spans="1:9" x14ac:dyDescent="0.3">
      <c r="A147" s="35" t="s">
        <v>187</v>
      </c>
      <c r="B147" s="59" t="s">
        <v>157</v>
      </c>
      <c r="C147" s="82">
        <f>2*(C44+C45)</f>
        <v>23.035753196144015</v>
      </c>
      <c r="D147" s="38" t="s">
        <v>10</v>
      </c>
      <c r="F147" s="2"/>
      <c r="G147" s="23" t="s">
        <v>112</v>
      </c>
      <c r="H147" s="9">
        <f t="shared" ca="1" si="4"/>
        <v>15.543000000000001</v>
      </c>
      <c r="I147" s="5" t="s">
        <v>202</v>
      </c>
    </row>
    <row r="148" spans="1:9" x14ac:dyDescent="0.3">
      <c r="A148" s="2"/>
      <c r="B148" s="3" t="s">
        <v>113</v>
      </c>
      <c r="C148" s="78">
        <f>IF(C48="double",4*C46,2*C46)</f>
        <v>11.739896269449064</v>
      </c>
      <c r="D148" s="5" t="s">
        <v>10</v>
      </c>
      <c r="F148" s="2"/>
      <c r="G148" s="23" t="s">
        <v>113</v>
      </c>
      <c r="H148" s="9">
        <f t="shared" ca="1" si="4"/>
        <v>7.85</v>
      </c>
      <c r="I148" s="5" t="s">
        <v>202</v>
      </c>
    </row>
    <row r="149" spans="1:9" x14ac:dyDescent="0.3">
      <c r="A149" s="2"/>
      <c r="B149" s="3" t="s">
        <v>69</v>
      </c>
      <c r="C149" s="78">
        <f>C28</f>
        <v>11.817144325089712</v>
      </c>
      <c r="D149" s="5" t="s">
        <v>10</v>
      </c>
      <c r="F149" s="2"/>
      <c r="G149" s="3" t="s">
        <v>69</v>
      </c>
      <c r="H149" s="9">
        <f t="shared" ca="1" si="4"/>
        <v>7.85</v>
      </c>
      <c r="I149" s="5" t="s">
        <v>202</v>
      </c>
    </row>
    <row r="150" spans="1:9" x14ac:dyDescent="0.3">
      <c r="A150" s="12"/>
      <c r="B150" s="13" t="s">
        <v>81</v>
      </c>
      <c r="C150" s="79">
        <f>C32</f>
        <v>13.214723001258863</v>
      </c>
      <c r="D150" s="15" t="s">
        <v>10</v>
      </c>
      <c r="E150" s="6"/>
      <c r="F150" s="2"/>
      <c r="G150" s="3" t="s">
        <v>81</v>
      </c>
      <c r="H150" s="9">
        <f t="shared" ca="1" si="4"/>
        <v>3.8</v>
      </c>
      <c r="I150" s="5" t="s">
        <v>202</v>
      </c>
    </row>
    <row r="151" spans="1:9" ht="16.2" x14ac:dyDescent="0.3">
      <c r="A151" s="35" t="s">
        <v>188</v>
      </c>
      <c r="B151" s="59"/>
      <c r="C151" s="86">
        <f ca="1">SUMPRODUCT(C135:C138,C147:C150)</f>
        <v>13.11818246529155</v>
      </c>
      <c r="D151" s="38" t="s">
        <v>31</v>
      </c>
      <c r="F151" s="35" t="s">
        <v>198</v>
      </c>
      <c r="G151" s="36" t="s">
        <v>158</v>
      </c>
      <c r="H151" s="85">
        <f t="shared" ref="H151:H156" ca="1" si="5">INDEX(INDIRECT($H$132),MATCH(H126,INDIRECT(CONCATENATE("i",$H$132)),-1),4)</f>
        <v>0.7</v>
      </c>
      <c r="I151" s="61" t="s">
        <v>199</v>
      </c>
    </row>
    <row r="152" spans="1:9" ht="16.2" x14ac:dyDescent="0.3">
      <c r="A152" s="2" t="s">
        <v>189</v>
      </c>
      <c r="B152" s="6"/>
      <c r="C152" s="87">
        <f ca="1">SUMPRODUCT(C139:C142,C147:C150)</f>
        <v>958.68057941911718</v>
      </c>
      <c r="D152" s="43" t="s">
        <v>190</v>
      </c>
      <c r="F152" s="2"/>
      <c r="G152" s="23" t="s">
        <v>110</v>
      </c>
      <c r="H152" s="44">
        <f t="shared" ca="1" si="5"/>
        <v>0.5</v>
      </c>
      <c r="I152" s="43" t="s">
        <v>199</v>
      </c>
    </row>
    <row r="153" spans="1:9" ht="16.8" thickBot="1" x14ac:dyDescent="0.35">
      <c r="A153" s="28" t="s">
        <v>193</v>
      </c>
      <c r="B153" s="25"/>
      <c r="C153" s="88">
        <f ca="1">SUMPRODUCT(C143:C146,C147:C150)/100</f>
        <v>0.3804060272159841</v>
      </c>
      <c r="D153" s="71" t="s">
        <v>203</v>
      </c>
      <c r="F153" s="2"/>
      <c r="G153" s="23" t="s">
        <v>112</v>
      </c>
      <c r="H153" s="44">
        <f t="shared" ca="1" si="5"/>
        <v>1</v>
      </c>
      <c r="I153" s="43" t="s">
        <v>199</v>
      </c>
    </row>
    <row r="154" spans="1:9" ht="16.2" x14ac:dyDescent="0.3">
      <c r="B154" s="3"/>
      <c r="C154" s="6"/>
      <c r="D154" s="6"/>
      <c r="F154" s="2"/>
      <c r="G154" s="23" t="s">
        <v>113</v>
      </c>
      <c r="H154" s="44">
        <f t="shared" ca="1" si="5"/>
        <v>0.7</v>
      </c>
      <c r="I154" s="43" t="s">
        <v>199</v>
      </c>
    </row>
    <row r="155" spans="1:9" ht="16.2" x14ac:dyDescent="0.3">
      <c r="F155" s="2"/>
      <c r="G155" s="3" t="s">
        <v>69</v>
      </c>
      <c r="H155" s="44">
        <f t="shared" ca="1" si="5"/>
        <v>0.7</v>
      </c>
      <c r="I155" s="43" t="s">
        <v>199</v>
      </c>
    </row>
    <row r="156" spans="1:9" ht="16.2" x14ac:dyDescent="0.3">
      <c r="A156"/>
      <c r="F156" s="12"/>
      <c r="G156" s="13" t="s">
        <v>81</v>
      </c>
      <c r="H156" s="47">
        <f t="shared" ca="1" si="5"/>
        <v>0.5</v>
      </c>
      <c r="I156" s="48" t="s">
        <v>199</v>
      </c>
    </row>
    <row r="157" spans="1:9" x14ac:dyDescent="0.3">
      <c r="A157"/>
      <c r="F157" s="2" t="s">
        <v>187</v>
      </c>
      <c r="G157" s="23" t="s">
        <v>158</v>
      </c>
      <c r="H157" s="78">
        <f>2*(H51+H52)</f>
        <v>15.672175562475566</v>
      </c>
      <c r="I157" s="5" t="s">
        <v>10</v>
      </c>
    </row>
    <row r="158" spans="1:9" x14ac:dyDescent="0.3">
      <c r="A158"/>
      <c r="F158" s="2"/>
      <c r="G158" s="23" t="s">
        <v>110</v>
      </c>
      <c r="H158" s="78">
        <f>H53*2</f>
        <v>7.3514496668470946</v>
      </c>
      <c r="I158" s="5" t="s">
        <v>10</v>
      </c>
    </row>
    <row r="159" spans="1:9" x14ac:dyDescent="0.3">
      <c r="A159"/>
      <c r="F159" s="2"/>
      <c r="G159" s="23" t="s">
        <v>112</v>
      </c>
      <c r="H159" s="78">
        <f>H54*2</f>
        <v>7.3495086146479442</v>
      </c>
      <c r="I159" s="5" t="s">
        <v>10</v>
      </c>
    </row>
    <row r="160" spans="1:9" x14ac:dyDescent="0.3">
      <c r="A160"/>
      <c r="F160" s="2"/>
      <c r="G160" s="23" t="s">
        <v>113</v>
      </c>
      <c r="H160" s="78">
        <f>IF(H57="double",4*H55,2*H55)</f>
        <v>7.6167760159259208</v>
      </c>
      <c r="I160" s="5" t="s">
        <v>10</v>
      </c>
    </row>
    <row r="161" spans="1:9" x14ac:dyDescent="0.3">
      <c r="A161"/>
      <c r="F161" s="2"/>
      <c r="G161" s="3" t="s">
        <v>69</v>
      </c>
      <c r="H161" s="78">
        <f>C149</f>
        <v>11.817144325089712</v>
      </c>
      <c r="I161" s="5" t="s">
        <v>10</v>
      </c>
    </row>
    <row r="162" spans="1:9" x14ac:dyDescent="0.3">
      <c r="A162"/>
      <c r="E162" s="6"/>
      <c r="F162" s="12"/>
      <c r="G162" s="13" t="s">
        <v>81</v>
      </c>
      <c r="H162" s="79">
        <f>C150</f>
        <v>13.214723001258863</v>
      </c>
      <c r="I162" s="15" t="s">
        <v>10</v>
      </c>
    </row>
    <row r="163" spans="1:9" x14ac:dyDescent="0.3">
      <c r="A163"/>
      <c r="E163" s="6"/>
      <c r="F163" s="35" t="s">
        <v>188</v>
      </c>
      <c r="G163" s="59"/>
      <c r="H163" s="86">
        <f ca="1">SUMPRODUCT(H157:H162,H139:H144)</f>
        <v>14.485990190391519</v>
      </c>
      <c r="I163" s="38" t="s">
        <v>31</v>
      </c>
    </row>
    <row r="164" spans="1:9" x14ac:dyDescent="0.3">
      <c r="A164"/>
      <c r="E164" s="6"/>
      <c r="F164" s="2" t="s">
        <v>189</v>
      </c>
      <c r="G164" s="6"/>
      <c r="H164" s="87">
        <f ca="1">SUMPRODUCT(H157:H162,H145:H150)</f>
        <v>467.96772137868157</v>
      </c>
      <c r="I164" s="43" t="s">
        <v>190</v>
      </c>
    </row>
    <row r="165" spans="1:9" ht="16.8" thickBot="1" x14ac:dyDescent="0.35">
      <c r="A165"/>
      <c r="E165" s="6"/>
      <c r="F165" s="28" t="s">
        <v>193</v>
      </c>
      <c r="G165" s="25"/>
      <c r="H165" s="88">
        <f ca="1">SUMPRODUCT(H157:H162,H151:H156)/100</f>
        <v>0.42206862081144758</v>
      </c>
      <c r="I165" s="71" t="s">
        <v>203</v>
      </c>
    </row>
    <row r="166" spans="1:9" x14ac:dyDescent="0.3">
      <c r="A166"/>
      <c r="E166" s="6"/>
    </row>
    <row r="167" spans="1:9" x14ac:dyDescent="0.3">
      <c r="A167"/>
      <c r="E167" s="6"/>
    </row>
    <row r="168" spans="1:9" x14ac:dyDescent="0.3">
      <c r="A168"/>
      <c r="E168" s="6"/>
    </row>
    <row r="169" spans="1:9" x14ac:dyDescent="0.3">
      <c r="A169"/>
      <c r="E169" s="76"/>
    </row>
    <row r="170" spans="1:9" x14ac:dyDescent="0.3">
      <c r="A170"/>
      <c r="E170" s="77"/>
    </row>
    <row r="171" spans="1:9" x14ac:dyDescent="0.3">
      <c r="A171"/>
      <c r="E171" s="77"/>
    </row>
    <row r="172" spans="1:9" x14ac:dyDescent="0.3">
      <c r="A172"/>
      <c r="E172" s="77"/>
    </row>
    <row r="173" spans="1:9" x14ac:dyDescent="0.3">
      <c r="A173"/>
      <c r="E173" s="77"/>
    </row>
    <row r="174" spans="1:9" x14ac:dyDescent="0.3">
      <c r="A174"/>
      <c r="F174" s="32"/>
    </row>
    <row r="175" spans="1:9" x14ac:dyDescent="0.3">
      <c r="A175"/>
      <c r="E175" s="77"/>
      <c r="F175" s="32"/>
    </row>
    <row r="176" spans="1:9" x14ac:dyDescent="0.3">
      <c r="A176"/>
      <c r="E176" s="77"/>
      <c r="F176" s="32"/>
    </row>
    <row r="177" spans="1:6" x14ac:dyDescent="0.3">
      <c r="A177"/>
      <c r="E177" s="77"/>
      <c r="F177" s="32"/>
    </row>
    <row r="178" spans="1:6" x14ac:dyDescent="0.3">
      <c r="A178"/>
      <c r="E178" s="77"/>
      <c r="F178" s="6"/>
    </row>
    <row r="179" spans="1:6" x14ac:dyDescent="0.3">
      <c r="A179"/>
      <c r="E179" s="77"/>
      <c r="F179" s="6"/>
    </row>
    <row r="180" spans="1:6" x14ac:dyDescent="0.3">
      <c r="A180"/>
      <c r="F180" s="6"/>
    </row>
    <row r="181" spans="1:6" x14ac:dyDescent="0.3">
      <c r="A181"/>
      <c r="F181" s="76"/>
    </row>
    <row r="182" spans="1:6" x14ac:dyDescent="0.3">
      <c r="A182"/>
      <c r="F182" s="77"/>
    </row>
    <row r="183" spans="1:6" x14ac:dyDescent="0.3">
      <c r="A183"/>
      <c r="F183" s="77"/>
    </row>
    <row r="184" spans="1:6" x14ac:dyDescent="0.3">
      <c r="A184"/>
      <c r="F184" s="77"/>
    </row>
    <row r="185" spans="1:6" x14ac:dyDescent="0.3">
      <c r="A185"/>
      <c r="F185" s="77"/>
    </row>
    <row r="186" spans="1:6" x14ac:dyDescent="0.3">
      <c r="A186"/>
    </row>
    <row r="187" spans="1:6" x14ac:dyDescent="0.3">
      <c r="A187"/>
      <c r="F187" s="77"/>
    </row>
    <row r="188" spans="1:6" x14ac:dyDescent="0.3">
      <c r="A188"/>
      <c r="F188" s="77"/>
    </row>
    <row r="189" spans="1:6" x14ac:dyDescent="0.3">
      <c r="A189"/>
      <c r="F189" s="77"/>
    </row>
    <row r="190" spans="1:6" x14ac:dyDescent="0.3">
      <c r="A190"/>
      <c r="F190" s="77"/>
    </row>
    <row r="191" spans="1:6" x14ac:dyDescent="0.3">
      <c r="A191"/>
      <c r="F191" s="77"/>
    </row>
    <row r="192" spans="1:6" x14ac:dyDescent="0.3">
      <c r="A192"/>
    </row>
    <row r="193" spans="1:3" x14ac:dyDescent="0.3">
      <c r="B193" s="33"/>
      <c r="C193" s="103"/>
    </row>
    <row r="194" spans="1:3" x14ac:dyDescent="0.3">
      <c r="B194" s="33"/>
      <c r="C194" s="103"/>
    </row>
    <row r="195" spans="1:3" x14ac:dyDescent="0.3">
      <c r="B195" s="33"/>
      <c r="C195" s="103"/>
    </row>
    <row r="196" spans="1:3" x14ac:dyDescent="0.3">
      <c r="A196"/>
      <c r="C196" s="103"/>
    </row>
    <row r="197" spans="1:3" x14ac:dyDescent="0.3">
      <c r="A197"/>
    </row>
    <row r="198" spans="1:3" x14ac:dyDescent="0.3">
      <c r="A198"/>
    </row>
    <row r="199" spans="1:3" x14ac:dyDescent="0.3">
      <c r="A199"/>
    </row>
    <row r="200" spans="1:3" x14ac:dyDescent="0.3">
      <c r="A200"/>
    </row>
    <row r="201" spans="1:3" x14ac:dyDescent="0.3">
      <c r="A201"/>
    </row>
    <row r="202" spans="1:3" x14ac:dyDescent="0.3">
      <c r="A202"/>
    </row>
    <row r="203" spans="1:3" x14ac:dyDescent="0.3">
      <c r="A203"/>
    </row>
    <row r="204" spans="1:3" x14ac:dyDescent="0.3">
      <c r="A204"/>
    </row>
    <row r="205" spans="1:3" x14ac:dyDescent="0.3">
      <c r="A205"/>
    </row>
    <row r="206" spans="1:3" x14ac:dyDescent="0.3">
      <c r="A206"/>
    </row>
  </sheetData>
  <mergeCells count="26">
    <mergeCell ref="A1:N1"/>
    <mergeCell ref="Y1:AH1"/>
    <mergeCell ref="A4:D4"/>
    <mergeCell ref="F4:I4"/>
    <mergeCell ref="A5:D5"/>
    <mergeCell ref="F5:I5"/>
    <mergeCell ref="F74:I74"/>
    <mergeCell ref="A13:D13"/>
    <mergeCell ref="F14:I14"/>
    <mergeCell ref="A17:D17"/>
    <mergeCell ref="F17:I17"/>
    <mergeCell ref="A24:D24"/>
    <mergeCell ref="A25:D25"/>
    <mergeCell ref="A29:D29"/>
    <mergeCell ref="A35:D35"/>
    <mergeCell ref="F35:I35"/>
    <mergeCell ref="A60:D60"/>
    <mergeCell ref="F60:I60"/>
    <mergeCell ref="A125:D125"/>
    <mergeCell ref="F125:I125"/>
    <mergeCell ref="A96:D96"/>
    <mergeCell ref="F96:I96"/>
    <mergeCell ref="A112:D112"/>
    <mergeCell ref="F112:I112"/>
    <mergeCell ref="F118:I118"/>
    <mergeCell ref="A120:D120"/>
  </mergeCells>
  <dataValidations count="4">
    <dataValidation type="list" sqref="C130 H132">
      <formula1>$AH$4:$AH$6</formula1>
    </dataValidation>
    <dataValidation type="list" sqref="C48:C49">
      <formula1>$AG$4:$AG$5</formula1>
    </dataValidation>
    <dataValidation type="list" allowBlank="1" sqref="H57">
      <formula1>$AG$4:$AG$5</formula1>
    </dataValidation>
    <dataValidation type="list" allowBlank="1" sqref="C47 H56">
      <formula1>$AF$4:$AF$6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J9" sqref="J9"/>
    </sheetView>
  </sheetViews>
  <sheetFormatPr defaultRowHeight="14.4" x14ac:dyDescent="0.3"/>
  <cols>
    <col min="1" max="1" width="24.33203125" style="33" customWidth="1"/>
    <col min="6" max="6" width="11.44140625" customWidth="1"/>
    <col min="9" max="9" width="20.6640625" bestFit="1" customWidth="1"/>
    <col min="11" max="11" width="23.5546875" bestFit="1" customWidth="1"/>
  </cols>
  <sheetData>
    <row r="1" spans="1:13" x14ac:dyDescent="0.3">
      <c r="A1" s="33" t="s">
        <v>206</v>
      </c>
      <c r="B1" t="s">
        <v>208</v>
      </c>
      <c r="C1" t="s">
        <v>207</v>
      </c>
      <c r="D1" t="s">
        <v>209</v>
      </c>
      <c r="E1" t="s">
        <v>210</v>
      </c>
      <c r="F1" t="s">
        <v>211</v>
      </c>
      <c r="G1" t="s">
        <v>219</v>
      </c>
      <c r="H1" t="s">
        <v>220</v>
      </c>
      <c r="K1" t="s">
        <v>221</v>
      </c>
    </row>
    <row r="2" spans="1:13" x14ac:dyDescent="0.3">
      <c r="A2" s="33" t="s">
        <v>205</v>
      </c>
      <c r="B2" s="105">
        <v>116</v>
      </c>
      <c r="C2" s="105">
        <v>180</v>
      </c>
      <c r="D2" s="105">
        <v>265</v>
      </c>
      <c r="E2" s="105">
        <v>560</v>
      </c>
      <c r="F2" s="112">
        <v>4.9000000000000004</v>
      </c>
      <c r="K2" s="33" t="s">
        <v>222</v>
      </c>
      <c r="L2" s="105">
        <v>10</v>
      </c>
      <c r="M2" t="s">
        <v>10</v>
      </c>
    </row>
    <row r="3" spans="1:13" x14ac:dyDescent="0.3">
      <c r="A3" s="33" t="s">
        <v>212</v>
      </c>
      <c r="B3">
        <v>116</v>
      </c>
      <c r="C3">
        <v>180</v>
      </c>
      <c r="D3">
        <v>265</v>
      </c>
      <c r="E3">
        <v>560</v>
      </c>
      <c r="F3">
        <f>F2+0.56</f>
        <v>5.4600000000000009</v>
      </c>
      <c r="G3">
        <f>10.6*F3</f>
        <v>57.876000000000005</v>
      </c>
      <c r="H3">
        <f>G3*10.6/2</f>
        <v>306.74279999999999</v>
      </c>
      <c r="K3" s="33" t="s">
        <v>223</v>
      </c>
      <c r="L3" s="105">
        <v>30</v>
      </c>
      <c r="M3" t="s">
        <v>34</v>
      </c>
    </row>
    <row r="4" spans="1:13" x14ac:dyDescent="0.3">
      <c r="A4" s="111" t="s">
        <v>213</v>
      </c>
      <c r="B4">
        <v>119</v>
      </c>
      <c r="C4">
        <v>179</v>
      </c>
      <c r="D4">
        <v>256</v>
      </c>
      <c r="E4">
        <v>612</v>
      </c>
      <c r="F4">
        <v>4.18</v>
      </c>
      <c r="G4">
        <f>13.6*F4</f>
        <v>56.847999999999992</v>
      </c>
      <c r="H4">
        <f>G4*13.6/2</f>
        <v>386.56639999999993</v>
      </c>
      <c r="I4" t="s">
        <v>245</v>
      </c>
      <c r="K4" s="33" t="s">
        <v>225</v>
      </c>
      <c r="L4" s="105">
        <v>250</v>
      </c>
      <c r="M4" t="s">
        <v>31</v>
      </c>
    </row>
    <row r="5" spans="1:13" x14ac:dyDescent="0.3">
      <c r="A5" s="33" t="s">
        <v>214</v>
      </c>
      <c r="B5" s="105">
        <v>114</v>
      </c>
      <c r="C5" s="105">
        <v>179</v>
      </c>
      <c r="D5" s="105">
        <v>266</v>
      </c>
      <c r="E5" s="105">
        <v>699</v>
      </c>
      <c r="F5" s="105">
        <v>4.2</v>
      </c>
      <c r="G5">
        <f t="shared" ref="G5:G9" si="0">13.6*F5</f>
        <v>57.12</v>
      </c>
      <c r="H5">
        <f t="shared" ref="H5:H9" si="1">G5*13.6/2</f>
        <v>388.416</v>
      </c>
      <c r="K5" s="33" t="s">
        <v>226</v>
      </c>
      <c r="L5">
        <f>L4*COS(L3/360*2*PI())</f>
        <v>216.50635094610968</v>
      </c>
      <c r="M5" t="s">
        <v>31</v>
      </c>
    </row>
    <row r="6" spans="1:13" x14ac:dyDescent="0.3">
      <c r="A6" s="33" t="s">
        <v>218</v>
      </c>
      <c r="B6">
        <v>106</v>
      </c>
      <c r="C6">
        <v>164</v>
      </c>
      <c r="D6">
        <v>202</v>
      </c>
      <c r="E6">
        <v>488</v>
      </c>
      <c r="F6">
        <v>3.7</v>
      </c>
      <c r="G6">
        <f t="shared" si="0"/>
        <v>50.32</v>
      </c>
      <c r="H6">
        <f t="shared" si="1"/>
        <v>342.17599999999999</v>
      </c>
      <c r="K6" s="33" t="s">
        <v>227</v>
      </c>
      <c r="L6">
        <f>L4*SIN(L3/360*2*PI())</f>
        <v>124.99999999999999</v>
      </c>
      <c r="M6" t="s">
        <v>31</v>
      </c>
    </row>
    <row r="7" spans="1:13" x14ac:dyDescent="0.3">
      <c r="A7" s="33" t="s">
        <v>215</v>
      </c>
      <c r="B7">
        <v>93</v>
      </c>
      <c r="C7">
        <v>175</v>
      </c>
      <c r="D7">
        <v>191</v>
      </c>
      <c r="E7">
        <v>558</v>
      </c>
      <c r="F7">
        <v>4.18</v>
      </c>
      <c r="G7">
        <f t="shared" si="0"/>
        <v>56.847999999999992</v>
      </c>
      <c r="H7">
        <f t="shared" si="1"/>
        <v>386.56639999999993</v>
      </c>
      <c r="K7" s="33"/>
    </row>
    <row r="8" spans="1:13" x14ac:dyDescent="0.3">
      <c r="A8" s="33" t="s">
        <v>216</v>
      </c>
      <c r="B8">
        <v>102</v>
      </c>
      <c r="C8">
        <v>193</v>
      </c>
      <c r="D8">
        <v>257</v>
      </c>
      <c r="E8">
        <v>779</v>
      </c>
      <c r="F8">
        <v>4.74</v>
      </c>
      <c r="G8">
        <f t="shared" si="0"/>
        <v>64.463999999999999</v>
      </c>
      <c r="H8">
        <f t="shared" si="1"/>
        <v>438.35519999999997</v>
      </c>
      <c r="K8" s="33" t="s">
        <v>224</v>
      </c>
      <c r="L8" s="58">
        <f>L6*L2*9.81/1000</f>
        <v>12.262499999999998</v>
      </c>
      <c r="M8" t="s">
        <v>228</v>
      </c>
    </row>
    <row r="9" spans="1:13" x14ac:dyDescent="0.3">
      <c r="A9" s="33" t="s">
        <v>217</v>
      </c>
      <c r="B9">
        <v>115</v>
      </c>
      <c r="C9">
        <v>170</v>
      </c>
      <c r="D9">
        <v>257</v>
      </c>
      <c r="E9">
        <v>585</v>
      </c>
      <c r="F9">
        <v>4.2</v>
      </c>
      <c r="G9">
        <f t="shared" si="0"/>
        <v>57.12</v>
      </c>
      <c r="H9">
        <f t="shared" si="1"/>
        <v>388.416</v>
      </c>
      <c r="I9" t="s">
        <v>246</v>
      </c>
      <c r="K9" s="33"/>
    </row>
    <row r="10" spans="1:13" x14ac:dyDescent="0.3">
      <c r="K10" s="33"/>
    </row>
    <row r="11" spans="1:13" x14ac:dyDescent="0.3">
      <c r="K11" s="33"/>
    </row>
    <row r="12" spans="1:13" x14ac:dyDescent="0.3">
      <c r="E12" s="33" t="s">
        <v>234</v>
      </c>
      <c r="F12" s="58">
        <v>20.9</v>
      </c>
      <c r="I12" s="33" t="s">
        <v>237</v>
      </c>
      <c r="J12" s="58">
        <f>F12+F15</f>
        <v>43.8</v>
      </c>
      <c r="K12" s="110">
        <v>100</v>
      </c>
      <c r="L12">
        <v>0</v>
      </c>
    </row>
    <row r="13" spans="1:13" x14ac:dyDescent="0.3">
      <c r="E13" s="33" t="s">
        <v>235</v>
      </c>
      <c r="F13" s="58">
        <f>F12-4.55</f>
        <v>16.349999999999998</v>
      </c>
      <c r="I13" s="33" t="s">
        <v>238</v>
      </c>
      <c r="J13" s="58">
        <f>F12+F16</f>
        <v>38.045000000000002</v>
      </c>
      <c r="K13" s="34">
        <f>J13/$J$12*100</f>
        <v>86.860730593607315</v>
      </c>
      <c r="L13" s="58">
        <f>J13-J12</f>
        <v>-5.7549999999999955</v>
      </c>
    </row>
    <row r="14" spans="1:13" x14ac:dyDescent="0.3">
      <c r="A14" s="33" t="s">
        <v>229</v>
      </c>
      <c r="E14" s="33" t="s">
        <v>236</v>
      </c>
      <c r="F14" s="58">
        <f>F12-9.26</f>
        <v>11.639999999999999</v>
      </c>
      <c r="I14" s="33" t="s">
        <v>239</v>
      </c>
      <c r="J14" s="58">
        <f>F16+F13</f>
        <v>33.494999999999997</v>
      </c>
      <c r="K14" s="34">
        <f t="shared" ref="K14:K18" si="2">J14/$J$12*100</f>
        <v>76.472602739726028</v>
      </c>
      <c r="L14" s="58">
        <f t="shared" ref="L14:L18" si="3">J14-J13</f>
        <v>-4.5500000000000043</v>
      </c>
    </row>
    <row r="15" spans="1:13" x14ac:dyDescent="0.3">
      <c r="A15" s="33">
        <v>3</v>
      </c>
      <c r="E15" s="23" t="s">
        <v>231</v>
      </c>
      <c r="F15" s="58">
        <v>22.9</v>
      </c>
      <c r="G15" s="58"/>
      <c r="I15" s="33" t="s">
        <v>240</v>
      </c>
      <c r="J15" s="58">
        <f>F14+F16</f>
        <v>28.784999999999997</v>
      </c>
      <c r="K15" s="34">
        <f t="shared" si="2"/>
        <v>65.719178082191775</v>
      </c>
      <c r="L15" s="58">
        <f t="shared" si="3"/>
        <v>-4.7100000000000009</v>
      </c>
    </row>
    <row r="16" spans="1:13" x14ac:dyDescent="0.3">
      <c r="A16" s="33">
        <v>4</v>
      </c>
      <c r="E16" s="106" t="s">
        <v>230</v>
      </c>
      <c r="F16" s="58">
        <f>'Oceanis 300'!C7*'Oceanis 300'!C8/2</f>
        <v>17.145</v>
      </c>
      <c r="G16" s="58"/>
      <c r="I16" s="109" t="s">
        <v>241</v>
      </c>
      <c r="J16" s="58">
        <f>F14+F17</f>
        <v>23.64</v>
      </c>
      <c r="K16" s="34">
        <f t="shared" si="2"/>
        <v>53.972602739726028</v>
      </c>
      <c r="L16" s="58">
        <f t="shared" si="3"/>
        <v>-5.144999999999996</v>
      </c>
    </row>
    <row r="17" spans="1:12" x14ac:dyDescent="0.3">
      <c r="A17" s="33">
        <v>5</v>
      </c>
      <c r="E17" s="106" t="s">
        <v>232</v>
      </c>
      <c r="F17" s="58">
        <v>12</v>
      </c>
      <c r="G17" s="58"/>
      <c r="I17" s="109" t="s">
        <v>242</v>
      </c>
      <c r="J17" s="58">
        <f>F14+F18</f>
        <v>17.64</v>
      </c>
      <c r="K17" s="34">
        <f t="shared" si="2"/>
        <v>40.273972602739732</v>
      </c>
      <c r="L17" s="58">
        <f t="shared" si="3"/>
        <v>-6</v>
      </c>
    </row>
    <row r="18" spans="1:12" x14ac:dyDescent="0.3">
      <c r="A18" s="33">
        <v>6</v>
      </c>
      <c r="E18" s="107" t="s">
        <v>233</v>
      </c>
      <c r="F18" s="58">
        <v>6</v>
      </c>
      <c r="G18" s="58"/>
      <c r="I18" s="109" t="s">
        <v>243</v>
      </c>
      <c r="J18" s="58">
        <f>F18</f>
        <v>6</v>
      </c>
      <c r="K18" s="34">
        <f t="shared" si="2"/>
        <v>13.698630136986303</v>
      </c>
      <c r="L18" s="58">
        <f t="shared" si="3"/>
        <v>-11.64</v>
      </c>
    </row>
    <row r="19" spans="1:12" x14ac:dyDescent="0.3">
      <c r="A19" s="33">
        <v>7</v>
      </c>
      <c r="G19" s="58"/>
    </row>
    <row r="20" spans="1:12" x14ac:dyDescent="0.3">
      <c r="A20" s="33">
        <v>8</v>
      </c>
      <c r="G20" s="58"/>
      <c r="I20" s="104"/>
    </row>
    <row r="21" spans="1:12" x14ac:dyDescent="0.3">
      <c r="A21" s="33">
        <v>9</v>
      </c>
      <c r="I21" s="104"/>
    </row>
    <row r="22" spans="1:12" x14ac:dyDescent="0.3">
      <c r="I22" s="10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247</v>
      </c>
    </row>
    <row r="2" spans="1:1" x14ac:dyDescent="0.3">
      <c r="A2" t="s">
        <v>278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280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1" spans="1:1" x14ac:dyDescent="0.3">
      <c r="A11" t="s">
        <v>279</v>
      </c>
    </row>
    <row r="12" spans="1:1" x14ac:dyDescent="0.3">
      <c r="A12" t="s">
        <v>252</v>
      </c>
    </row>
    <row r="13" spans="1:1" x14ac:dyDescent="0.3">
      <c r="A13" t="s">
        <v>253</v>
      </c>
    </row>
    <row r="14" spans="1:1" x14ac:dyDescent="0.3">
      <c r="A14" t="s">
        <v>254</v>
      </c>
    </row>
    <row r="15" spans="1:1" x14ac:dyDescent="0.3">
      <c r="A15" t="s">
        <v>274</v>
      </c>
    </row>
    <row r="17" spans="1:1" x14ac:dyDescent="0.3">
      <c r="A17" t="s">
        <v>256</v>
      </c>
    </row>
    <row r="18" spans="1:1" x14ac:dyDescent="0.3">
      <c r="A18" t="s">
        <v>257</v>
      </c>
    </row>
    <row r="19" spans="1:1" x14ac:dyDescent="0.3">
      <c r="A19" t="s">
        <v>258</v>
      </c>
    </row>
    <row r="21" spans="1:1" x14ac:dyDescent="0.3">
      <c r="A21" t="s">
        <v>259</v>
      </c>
    </row>
    <row r="22" spans="1:1" x14ac:dyDescent="0.3">
      <c r="A22" t="s">
        <v>260</v>
      </c>
    </row>
    <row r="23" spans="1:1" x14ac:dyDescent="0.3">
      <c r="A23" t="s">
        <v>261</v>
      </c>
    </row>
    <row r="24" spans="1:1" x14ac:dyDescent="0.3">
      <c r="A24" t="s">
        <v>271</v>
      </c>
    </row>
    <row r="25" spans="1:1" x14ac:dyDescent="0.3">
      <c r="A25" t="s">
        <v>255</v>
      </c>
    </row>
    <row r="26" spans="1:1" x14ac:dyDescent="0.3">
      <c r="A26" t="s">
        <v>275</v>
      </c>
    </row>
    <row r="27" spans="1:1" x14ac:dyDescent="0.3">
      <c r="A27" t="s">
        <v>262</v>
      </c>
    </row>
    <row r="29" spans="1:1" x14ac:dyDescent="0.3">
      <c r="A29" t="s">
        <v>263</v>
      </c>
    </row>
    <row r="30" spans="1:1" x14ac:dyDescent="0.3">
      <c r="A30" t="s">
        <v>264</v>
      </c>
    </row>
    <row r="31" spans="1:1" x14ac:dyDescent="0.3">
      <c r="A31" t="s">
        <v>276</v>
      </c>
    </row>
    <row r="32" spans="1:1" x14ac:dyDescent="0.3">
      <c r="A32" t="s">
        <v>265</v>
      </c>
    </row>
    <row r="33" spans="1:1" x14ac:dyDescent="0.3">
      <c r="A33" t="s">
        <v>266</v>
      </c>
    </row>
    <row r="34" spans="1:1" x14ac:dyDescent="0.3">
      <c r="A34" t="s">
        <v>277</v>
      </c>
    </row>
    <row r="35" spans="1:1" x14ac:dyDescent="0.3">
      <c r="A35" t="s">
        <v>267</v>
      </c>
    </row>
    <row r="36" spans="1:1" x14ac:dyDescent="0.3">
      <c r="A36" t="s">
        <v>270</v>
      </c>
    </row>
    <row r="37" spans="1:1" x14ac:dyDescent="0.3">
      <c r="A37" t="s">
        <v>268</v>
      </c>
    </row>
    <row r="38" spans="1:1" x14ac:dyDescent="0.3">
      <c r="A38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16</vt:i4>
      </vt:variant>
    </vt:vector>
  </HeadingPairs>
  <TitlesOfParts>
    <vt:vector size="20" baseType="lpstr">
      <vt:lpstr>First 310S</vt:lpstr>
      <vt:lpstr>Oceanis 300</vt:lpstr>
      <vt:lpstr>Blad2</vt:lpstr>
      <vt:lpstr>Blad1</vt:lpstr>
      <vt:lpstr>'Oceanis 300'!Dyform</vt:lpstr>
      <vt:lpstr>Dyform</vt:lpstr>
      <vt:lpstr>'Oceanis 300'!iDyform</vt:lpstr>
      <vt:lpstr>iDyform</vt:lpstr>
      <vt:lpstr>'Oceanis 300'!iRod</vt:lpstr>
      <vt:lpstr>iRod</vt:lpstr>
      <vt:lpstr>'Oceanis 300'!iSS1x19</vt:lpstr>
      <vt:lpstr>iSS1x19</vt:lpstr>
      <vt:lpstr>'Oceanis 300'!ong</vt:lpstr>
      <vt:lpstr>ong</vt:lpstr>
      <vt:lpstr>'Oceanis 300'!opbouw</vt:lpstr>
      <vt:lpstr>opbouw</vt:lpstr>
      <vt:lpstr>'Oceanis 300'!Rod</vt:lpstr>
      <vt:lpstr>Rod</vt:lpstr>
      <vt:lpstr>'Oceanis 300'!SS1x19</vt:lpstr>
      <vt:lpstr>SS1x19</vt:lpstr>
    </vt:vector>
  </TitlesOfParts>
  <Company>Vinny27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Maarten</cp:lastModifiedBy>
  <dcterms:created xsi:type="dcterms:W3CDTF">2014-09-28T22:22:17Z</dcterms:created>
  <dcterms:modified xsi:type="dcterms:W3CDTF">2018-02-09T21:20:40Z</dcterms:modified>
</cp:coreProperties>
</file>