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ter\Desktop\"/>
    </mc:Choice>
  </mc:AlternateContent>
  <xr:revisionPtr revIDLastSave="0" documentId="8_{1780BC06-EC0E-4CFE-BAB1-00F9AB5A4C8A}" xr6:coauthVersionLast="47" xr6:coauthVersionMax="47" xr10:uidLastSave="{00000000-0000-0000-0000-000000000000}"/>
  <bookViews>
    <workbookView xWindow="3765" yWindow="4185" windowWidth="20865" windowHeight="976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Blad1!$A$1:$Z$32</definedName>
    <definedName name="_xlnm.Print_Area" localSheetId="1">Blad2!$A$1:$V$21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D32" i="1"/>
  <c r="R32" i="1"/>
  <c r="F32" i="1"/>
  <c r="M32" i="1"/>
  <c r="J32" i="1"/>
  <c r="H32" i="1"/>
  <c r="L32" i="1"/>
  <c r="D13" i="1"/>
  <c r="F13" i="1"/>
  <c r="J13" i="1"/>
  <c r="H13" i="1"/>
  <c r="L13" i="1"/>
  <c r="D31" i="1"/>
  <c r="F31" i="1"/>
  <c r="J31" i="1"/>
  <c r="D30" i="1"/>
  <c r="R30" i="1"/>
  <c r="F30" i="1"/>
  <c r="J30" i="1"/>
  <c r="D29" i="1"/>
  <c r="M29" i="1"/>
  <c r="O29" i="1"/>
  <c r="F29" i="1"/>
  <c r="J29" i="1"/>
  <c r="D28" i="1"/>
  <c r="F28" i="1"/>
  <c r="M28" i="1"/>
  <c r="S28" i="1"/>
  <c r="U28" i="1"/>
  <c r="J28" i="1"/>
  <c r="D27" i="1"/>
  <c r="R27" i="1"/>
  <c r="F27" i="1"/>
  <c r="K27" i="1"/>
  <c r="J27" i="1"/>
  <c r="D26" i="1"/>
  <c r="F26" i="1"/>
  <c r="M26" i="1"/>
  <c r="J26" i="1"/>
  <c r="D25" i="1"/>
  <c r="R25" i="1"/>
  <c r="M25" i="1"/>
  <c r="N25" i="1"/>
  <c r="F25" i="1"/>
  <c r="J25" i="1"/>
  <c r="D24" i="1"/>
  <c r="F24" i="1"/>
  <c r="J24" i="1"/>
  <c r="D23" i="1"/>
  <c r="R23" i="1"/>
  <c r="F23" i="1"/>
  <c r="J23" i="1"/>
  <c r="K23" i="1"/>
  <c r="D22" i="1"/>
  <c r="R22" i="1"/>
  <c r="F22" i="1"/>
  <c r="K22" i="1"/>
  <c r="J22" i="1"/>
  <c r="D21" i="1"/>
  <c r="F21" i="1"/>
  <c r="J21" i="1"/>
  <c r="D20" i="1"/>
  <c r="M20" i="1"/>
  <c r="N20" i="1"/>
  <c r="R20" i="1"/>
  <c r="F20" i="1"/>
  <c r="J20" i="1"/>
  <c r="D19" i="1"/>
  <c r="R19" i="1"/>
  <c r="F19" i="1"/>
  <c r="J19" i="1"/>
  <c r="D18" i="1"/>
  <c r="F18" i="1"/>
  <c r="J18" i="1"/>
  <c r="M18" i="1"/>
  <c r="D17" i="1"/>
  <c r="F17" i="1"/>
  <c r="J17" i="1"/>
  <c r="D16" i="1"/>
  <c r="M16" i="1"/>
  <c r="O16" i="1"/>
  <c r="R16" i="1"/>
  <c r="F16" i="1"/>
  <c r="J16" i="1"/>
  <c r="D15" i="1"/>
  <c r="K15" i="1"/>
  <c r="F15" i="1"/>
  <c r="J15" i="1"/>
  <c r="D14" i="1"/>
  <c r="K14" i="1"/>
  <c r="F14" i="1"/>
  <c r="J14" i="1"/>
  <c r="D5" i="1"/>
  <c r="R5" i="1"/>
  <c r="F5" i="1"/>
  <c r="J5" i="1"/>
  <c r="K5" i="1"/>
  <c r="D6" i="1"/>
  <c r="R6" i="1"/>
  <c r="F6" i="1"/>
  <c r="M6" i="1"/>
  <c r="N6" i="1"/>
  <c r="S6" i="1"/>
  <c r="T6" i="1"/>
  <c r="J6" i="1"/>
  <c r="D8" i="1"/>
  <c r="R8" i="1"/>
  <c r="F8" i="1"/>
  <c r="M8" i="1"/>
  <c r="J8" i="1"/>
  <c r="D7" i="1"/>
  <c r="F7" i="1"/>
  <c r="J7" i="1"/>
  <c r="D12" i="1"/>
  <c r="F12" i="1"/>
  <c r="J12" i="1"/>
  <c r="K12" i="1"/>
  <c r="D10" i="1"/>
  <c r="F10" i="1"/>
  <c r="J10" i="1"/>
  <c r="D9" i="1"/>
  <c r="R9" i="1"/>
  <c r="F9" i="1"/>
  <c r="M9" i="1"/>
  <c r="J9" i="1"/>
  <c r="D11" i="1"/>
  <c r="F11" i="1"/>
  <c r="J11" i="1"/>
  <c r="M34" i="1"/>
  <c r="N34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5" i="1"/>
  <c r="H6" i="1"/>
  <c r="K6" i="1"/>
  <c r="H8" i="1"/>
  <c r="H7" i="1"/>
  <c r="H12" i="1"/>
  <c r="H10" i="1"/>
  <c r="H9" i="1"/>
  <c r="H11" i="1"/>
  <c r="R26" i="1"/>
  <c r="R21" i="1"/>
  <c r="R18" i="1"/>
  <c r="R17" i="1"/>
  <c r="R1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5" i="1"/>
  <c r="L6" i="1"/>
  <c r="L8" i="1"/>
  <c r="L7" i="1"/>
  <c r="L12" i="1"/>
  <c r="L10" i="1"/>
  <c r="L9" i="1"/>
  <c r="L11" i="1"/>
  <c r="K25" i="1"/>
  <c r="K18" i="1"/>
  <c r="K7" i="1"/>
  <c r="G6" i="2"/>
  <c r="D6" i="2"/>
  <c r="E6" i="2"/>
  <c r="A6" i="2"/>
  <c r="J5" i="2"/>
  <c r="E5" i="2"/>
  <c r="L5" i="2"/>
  <c r="H5" i="2"/>
  <c r="S20" i="1"/>
  <c r="T20" i="1"/>
  <c r="S29" i="1"/>
  <c r="T29" i="1"/>
  <c r="K10" i="1"/>
  <c r="K16" i="1"/>
  <c r="K20" i="1"/>
  <c r="R28" i="1"/>
  <c r="Q20" i="2"/>
  <c r="N29" i="1"/>
  <c r="V29" i="1"/>
  <c r="U6" i="1"/>
  <c r="N16" i="1"/>
  <c r="M23" i="1"/>
  <c r="O23" i="1"/>
  <c r="O20" i="1"/>
  <c r="M22" i="1"/>
  <c r="O22" i="1"/>
  <c r="M30" i="1"/>
  <c r="S30" i="1"/>
  <c r="T30" i="1"/>
  <c r="K9" i="1"/>
  <c r="T15" i="2"/>
  <c r="U15" i="2"/>
  <c r="R11" i="1"/>
  <c r="R13" i="1"/>
  <c r="M15" i="1"/>
  <c r="S15" i="1"/>
  <c r="T15" i="1"/>
  <c r="K31" i="1"/>
  <c r="S22" i="1"/>
  <c r="V22" i="1"/>
  <c r="N22" i="1"/>
  <c r="N23" i="1"/>
  <c r="U15" i="1"/>
  <c r="U22" i="1"/>
  <c r="T22" i="1"/>
  <c r="O32" i="1"/>
  <c r="N32" i="1"/>
  <c r="S32" i="1"/>
  <c r="N18" i="1"/>
  <c r="S18" i="1"/>
  <c r="O18" i="1"/>
  <c r="S9" i="1"/>
  <c r="O9" i="1"/>
  <c r="N9" i="1"/>
  <c r="N26" i="1"/>
  <c r="O26" i="1"/>
  <c r="S26" i="1"/>
  <c r="N8" i="1"/>
  <c r="O8" i="1"/>
  <c r="S8" i="1"/>
  <c r="P15" i="2"/>
  <c r="V20" i="2"/>
  <c r="T5" i="2"/>
  <c r="Q10" i="2"/>
  <c r="O10" i="2"/>
  <c r="T20" i="2"/>
  <c r="U5" i="2"/>
  <c r="M24" i="1"/>
  <c r="R24" i="1"/>
  <c r="V30" i="1"/>
  <c r="S23" i="1"/>
  <c r="N30" i="1"/>
  <c r="V10" i="2"/>
  <c r="O5" i="2"/>
  <c r="V5" i="2"/>
  <c r="P20" i="2"/>
  <c r="S16" i="1"/>
  <c r="U29" i="1"/>
  <c r="V20" i="1"/>
  <c r="P10" i="2"/>
  <c r="O25" i="1"/>
  <c r="U30" i="1"/>
  <c r="O15" i="1"/>
  <c r="O30" i="1"/>
  <c r="T28" i="1"/>
  <c r="P5" i="2"/>
  <c r="Q5" i="2"/>
  <c r="K30" i="1"/>
  <c r="M19" i="1"/>
  <c r="M14" i="1"/>
  <c r="T10" i="2"/>
  <c r="K32" i="1"/>
  <c r="O28" i="1"/>
  <c r="V6" i="1"/>
  <c r="M27" i="1"/>
  <c r="O6" i="1"/>
  <c r="H6" i="2"/>
  <c r="J6" i="2"/>
  <c r="L6" i="2"/>
  <c r="M12" i="1"/>
  <c r="M7" i="1"/>
  <c r="R7" i="1"/>
  <c r="K8" i="1"/>
  <c r="K29" i="1"/>
  <c r="M33" i="1"/>
  <c r="V15" i="1"/>
  <c r="N15" i="1"/>
  <c r="V28" i="1"/>
  <c r="V15" i="2"/>
  <c r="O20" i="2"/>
  <c r="U20" i="1"/>
  <c r="O15" i="2"/>
  <c r="U10" i="2"/>
  <c r="N28" i="1"/>
  <c r="Q15" i="2"/>
  <c r="U20" i="2"/>
  <c r="K26" i="1"/>
  <c r="R29" i="1"/>
  <c r="K28" i="1"/>
  <c r="M11" i="1"/>
  <c r="K11" i="1"/>
  <c r="M10" i="1"/>
  <c r="R10" i="1"/>
  <c r="M5" i="1"/>
  <c r="R14" i="1"/>
  <c r="R15" i="1"/>
  <c r="K17" i="1"/>
  <c r="M17" i="1"/>
  <c r="K19" i="1"/>
  <c r="K21" i="1"/>
  <c r="M21" i="1"/>
  <c r="K24" i="1"/>
  <c r="S25" i="1"/>
  <c r="R31" i="1"/>
  <c r="M31" i="1"/>
  <c r="K13" i="1"/>
  <c r="M13" i="1"/>
  <c r="N10" i="1"/>
  <c r="S10" i="1"/>
  <c r="O10" i="1"/>
  <c r="O19" i="1"/>
  <c r="S19" i="1"/>
  <c r="N19" i="1"/>
  <c r="U16" i="1"/>
  <c r="T16" i="1"/>
  <c r="V16" i="1"/>
  <c r="V26" i="1"/>
  <c r="U26" i="1"/>
  <c r="T26" i="1"/>
  <c r="N13" i="1"/>
  <c r="O13" i="1"/>
  <c r="S13" i="1"/>
  <c r="T25" i="1"/>
  <c r="U25" i="1"/>
  <c r="V25" i="1"/>
  <c r="N7" i="1"/>
  <c r="O7" i="1"/>
  <c r="S7" i="1"/>
  <c r="O24" i="1"/>
  <c r="N24" i="1"/>
  <c r="S24" i="1"/>
  <c r="V8" i="1"/>
  <c r="U8" i="1"/>
  <c r="T8" i="1"/>
  <c r="T9" i="1"/>
  <c r="U9" i="1"/>
  <c r="V9" i="1"/>
  <c r="V32" i="1"/>
  <c r="U32" i="1"/>
  <c r="T32" i="1"/>
  <c r="O17" i="1"/>
  <c r="N17" i="1"/>
  <c r="S17" i="1"/>
  <c r="N5" i="1"/>
  <c r="S5" i="1"/>
  <c r="O5" i="1"/>
  <c r="O11" i="1"/>
  <c r="S11" i="1"/>
  <c r="N11" i="1"/>
  <c r="O12" i="1"/>
  <c r="S12" i="1"/>
  <c r="N12" i="1"/>
  <c r="N27" i="1"/>
  <c r="S27" i="1"/>
  <c r="O27" i="1"/>
  <c r="T23" i="1"/>
  <c r="U23" i="1"/>
  <c r="V23" i="1"/>
  <c r="N31" i="1"/>
  <c r="O31" i="1"/>
  <c r="S31" i="1"/>
  <c r="O21" i="1"/>
  <c r="N21" i="1"/>
  <c r="S21" i="1"/>
  <c r="Q11" i="2"/>
  <c r="O21" i="2"/>
  <c r="T11" i="2"/>
  <c r="Q6" i="2"/>
  <c r="T16" i="2"/>
  <c r="V6" i="2"/>
  <c r="T21" i="2"/>
  <c r="O11" i="2"/>
  <c r="U16" i="2"/>
  <c r="P6" i="2"/>
  <c r="O16" i="2"/>
  <c r="Q16" i="2"/>
  <c r="U11" i="2"/>
  <c r="V16" i="2"/>
  <c r="U21" i="2"/>
  <c r="T6" i="2"/>
  <c r="V11" i="2"/>
  <c r="P21" i="2"/>
  <c r="P16" i="2"/>
  <c r="P11" i="2"/>
  <c r="O6" i="2"/>
  <c r="U6" i="2"/>
  <c r="V21" i="2"/>
  <c r="Q21" i="2"/>
  <c r="N14" i="1"/>
  <c r="S14" i="1"/>
  <c r="O14" i="1"/>
  <c r="U18" i="1"/>
  <c r="V18" i="1"/>
  <c r="T18" i="1"/>
  <c r="T12" i="1"/>
  <c r="V12" i="1"/>
  <c r="U12" i="1"/>
  <c r="T17" i="1"/>
  <c r="U17" i="1"/>
  <c r="V17" i="1"/>
  <c r="V24" i="1"/>
  <c r="T24" i="1"/>
  <c r="U24" i="1"/>
  <c r="V14" i="1"/>
  <c r="T14" i="1"/>
  <c r="U14" i="1"/>
  <c r="V27" i="1"/>
  <c r="U27" i="1"/>
  <c r="T27" i="1"/>
  <c r="U13" i="1"/>
  <c r="T13" i="1"/>
  <c r="V13" i="1"/>
  <c r="V31" i="1"/>
  <c r="T31" i="1"/>
  <c r="U31" i="1"/>
  <c r="T5" i="1"/>
  <c r="U5" i="1"/>
  <c r="V5" i="1"/>
  <c r="V10" i="1"/>
  <c r="T10" i="1"/>
  <c r="U10" i="1"/>
  <c r="V21" i="1"/>
  <c r="U21" i="1"/>
  <c r="T21" i="1"/>
  <c r="V11" i="1"/>
  <c r="U11" i="1"/>
  <c r="T11" i="1"/>
  <c r="V7" i="1"/>
  <c r="T7" i="1"/>
  <c r="U7" i="1"/>
  <c r="T19" i="1"/>
  <c r="U19" i="1"/>
  <c r="V19" i="1"/>
</calcChain>
</file>

<file path=xl/sharedStrings.xml><?xml version="1.0" encoding="utf-8"?>
<sst xmlns="http://schemas.openxmlformats.org/spreadsheetml/2006/main" count="191" uniqueCount="120">
  <si>
    <t>LWL</t>
  </si>
  <si>
    <t>LOA</t>
  </si>
  <si>
    <t>kg</t>
  </si>
  <si>
    <t>lbs</t>
  </si>
  <si>
    <t>m</t>
  </si>
  <si>
    <t>ft</t>
  </si>
  <si>
    <t>40 gr</t>
  </si>
  <si>
    <t>5 gr</t>
  </si>
  <si>
    <t>10 gr</t>
  </si>
  <si>
    <t>20  gr</t>
  </si>
  <si>
    <t>Holender 900</t>
  </si>
  <si>
    <t>Dufour 30</t>
  </si>
  <si>
    <t>Feeling 306</t>
  </si>
  <si>
    <t>Phino</t>
  </si>
  <si>
    <t>Skoit 33</t>
  </si>
  <si>
    <t>Hanse 292</t>
  </si>
  <si>
    <t>Cornish Crabber</t>
  </si>
  <si>
    <t>Dynamic 33</t>
  </si>
  <si>
    <t>J 32</t>
  </si>
  <si>
    <t>Dehler 33</t>
  </si>
  <si>
    <t>Achterkajuit</t>
  </si>
  <si>
    <t>SCHEEPSTYPE</t>
  </si>
  <si>
    <t>G</t>
  </si>
  <si>
    <t>Schot</t>
  </si>
  <si>
    <t>15 gr</t>
  </si>
  <si>
    <t>20 gr</t>
  </si>
  <si>
    <t>Elan 333</t>
  </si>
  <si>
    <t>Spaekhugger</t>
  </si>
  <si>
    <t>Kuip - stuurplaats</t>
  </si>
  <si>
    <t>Kaartentafel - zittend</t>
  </si>
  <si>
    <t>Kombuis - staand</t>
  </si>
  <si>
    <t>Kajuitbank - zittend</t>
  </si>
  <si>
    <t>Voorpiek - liggend</t>
  </si>
  <si>
    <t>Natte cel - staand</t>
  </si>
  <si>
    <t>Waterverpl.</t>
  </si>
  <si>
    <t>Breedte</t>
  </si>
  <si>
    <t>Victoire 933</t>
  </si>
  <si>
    <t>Waarschip 900</t>
  </si>
  <si>
    <t>Ovni 30</t>
  </si>
  <si>
    <t>Sun 32.2</t>
  </si>
  <si>
    <t>Etap 32i</t>
  </si>
  <si>
    <t>Clever 32</t>
  </si>
  <si>
    <t>Nordship 31</t>
  </si>
  <si>
    <t>Bavaria 31</t>
  </si>
  <si>
    <t>Northstar 32</t>
  </si>
  <si>
    <t>Faroer</t>
  </si>
  <si>
    <t>First 33.7</t>
  </si>
  <si>
    <t>Allegro 33</t>
  </si>
  <si>
    <t>Compromis 999</t>
  </si>
  <si>
    <t>Hans Chr. 33</t>
  </si>
  <si>
    <t>traagh.</t>
  </si>
  <si>
    <t>moment</t>
  </si>
  <si>
    <t>Komfortfaktor</t>
  </si>
  <si>
    <t>vlgs Brewer</t>
  </si>
  <si>
    <t>sl.tijd</t>
  </si>
  <si>
    <t>in G's vlgs Marchaj</t>
  </si>
  <si>
    <t>st.tijd</t>
  </si>
  <si>
    <t>op het voordek vlgs Marchaj</t>
  </si>
  <si>
    <t>Rekenen aan komfort</t>
  </si>
  <si>
    <t>C</t>
  </si>
  <si>
    <t>E</t>
  </si>
  <si>
    <t>I</t>
  </si>
  <si>
    <t>de waterverplaatsing in kilogrammen</t>
  </si>
  <si>
    <t>de lengte op de waterlijn in meters</t>
  </si>
  <si>
    <t>de lengte over alles in meters</t>
  </si>
  <si>
    <t>de breedte in meters</t>
  </si>
  <si>
    <t>L</t>
  </si>
  <si>
    <t>M</t>
  </si>
  <si>
    <t>N</t>
  </si>
  <si>
    <t>bedaarde langkieler kan wel 250 halen.</t>
  </si>
  <si>
    <t>Slingerakseleratie</t>
  </si>
  <si>
    <t>Stampakseleratie in G's</t>
  </si>
  <si>
    <t>Het programma rekent van alles uit na het invullen van de volgende kolommen:</t>
  </si>
  <si>
    <t>De slingertijd in sekonden. Komt die onder de 2, dan spreken we meestal van een wreed</t>
  </si>
  <si>
    <t>of volgens liefhebbers van een 'kittig' schip. Komt de slingertijd boven de 4 sekonden</t>
  </si>
  <si>
    <t>Verklaring bij de uitkomsten:</t>
  </si>
  <si>
    <t>Akseleraties die optreden bij slingebewegingen en uitgedrukt in G-krachten bij een aan-</t>
  </si>
  <si>
    <t>O</t>
  </si>
  <si>
    <t>Scheepstype</t>
  </si>
  <si>
    <r>
      <t>slingerbeweging van 20</t>
    </r>
    <r>
      <rPr>
        <vertAlign val="superscript"/>
        <sz val="8"/>
        <rFont val="Comic Sans MS"/>
        <family val="4"/>
      </rPr>
      <t>o</t>
    </r>
    <r>
      <rPr>
        <sz val="8"/>
        <rFont val="Comic Sans MS"/>
        <family val="4"/>
      </rPr>
      <t xml:space="preserve"> naar bakboord en 20</t>
    </r>
    <r>
      <rPr>
        <vertAlign val="superscript"/>
        <sz val="8"/>
        <rFont val="Comic Sans MS"/>
        <family val="4"/>
      </rPr>
      <t>o</t>
    </r>
    <r>
      <rPr>
        <sz val="8"/>
        <rFont val="Comic Sans MS"/>
        <family val="4"/>
      </rPr>
      <t xml:space="preserve"> naar stuurboord. Daar staat tegenover dat</t>
    </r>
  </si>
  <si>
    <t>vrij traditionele schepen in staat zijn komfortabele omstandigheden te bieden. De rest</t>
  </si>
  <si>
    <t>de periode lang is (ca. 12 sekonden). In de spreadsheet zie je dan dat slechts enkele</t>
  </si>
  <si>
    <t>wordt aangeraden overe langere periodes vooral de wind af te kruisen.</t>
  </si>
  <si>
    <t>S</t>
  </si>
  <si>
    <t>T</t>
  </si>
  <si>
    <r>
      <t>De akseleratie op het voordek bij stampbewegingen van 5</t>
    </r>
    <r>
      <rPr>
        <vertAlign val="superscript"/>
        <sz val="8"/>
        <rFont val="Comic Sans MS"/>
        <family val="4"/>
      </rPr>
      <t>o</t>
    </r>
    <r>
      <rPr>
        <sz val="8"/>
        <rFont val="Comic Sans MS"/>
        <family val="4"/>
      </rPr>
      <t>.</t>
    </r>
  </si>
  <si>
    <t>U</t>
  </si>
  <si>
    <t>V</t>
  </si>
  <si>
    <r>
      <t>De akseleratie op het voordek bij stampbewegingen van 10</t>
    </r>
    <r>
      <rPr>
        <vertAlign val="superscript"/>
        <sz val="8"/>
        <rFont val="Comic Sans MS"/>
        <family val="4"/>
      </rPr>
      <t>o</t>
    </r>
    <r>
      <rPr>
        <sz val="8"/>
        <rFont val="Comic Sans MS"/>
        <family val="4"/>
      </rPr>
      <t>.</t>
    </r>
  </si>
  <si>
    <r>
      <t>De akseleratie op het voordek bij stampbewegingen van 20</t>
    </r>
    <r>
      <rPr>
        <vertAlign val="superscript"/>
        <sz val="8"/>
        <rFont val="Comic Sans MS"/>
        <family val="4"/>
      </rPr>
      <t>o</t>
    </r>
    <r>
      <rPr>
        <sz val="8"/>
        <rFont val="Comic Sans MS"/>
        <family val="4"/>
      </rPr>
      <t>.</t>
    </r>
  </si>
  <si>
    <t>Op blad 2 kunnen berekeningen voor diverse posities aan boord van uw schip worden doorge-</t>
  </si>
  <si>
    <t>rekend. Op de bovenste regel zijn de gegevens voor de Elan 33 ingevuld voor zover de afstanden</t>
  </si>
  <si>
    <t>korrekt van een tekening opgemeten konden worden. De Elan 33 is een vrij lichte cruiser-racer,</t>
  </si>
  <si>
    <t>dus uitkomsten in minder G's zijn alleen maar gunstig.</t>
  </si>
  <si>
    <t>dan heeft een schip een trage rol. Wordt dat te erg dan spreken we van een rank schip.</t>
  </si>
  <si>
    <r>
      <t>dewindse koers met een helling van circa 10</t>
    </r>
    <r>
      <rPr>
        <vertAlign val="superscript"/>
        <sz val="8"/>
        <rFont val="Comic Sans MS"/>
        <family val="4"/>
      </rPr>
      <t>o</t>
    </r>
    <r>
      <rPr>
        <sz val="8"/>
        <rFont val="Comic Sans MS"/>
        <family val="4"/>
      </rPr>
      <t>. Op zo'n koers is de periode van de golf kort</t>
    </r>
  </si>
  <si>
    <t>(2 - 5 sekonden). Op lichte lellebellen wordt het dan al aardig onkomfortabel.</t>
  </si>
  <si>
    <t>Radius</t>
  </si>
  <si>
    <t>m/LOA</t>
  </si>
  <si>
    <t>Onder de term 'radius' verstaan we de afstand in meters tussen de plaats waarvoor u de</t>
  </si>
  <si>
    <t>versnelling wilt weten en het zwaartepunt van de boot. Als u bijvoorbeeld de zijwaartse</t>
  </si>
  <si>
    <t>versnelling in een kooi wilt weten, dan rekent u vanaf een punt, dat zo'n 45 centimeter (een</t>
  </si>
  <si>
    <t>halve kooi) binnen de huid van het schip ligt tot het formele gewichtszwaartepunt, zoals dat</t>
  </si>
  <si>
    <t>in een dwarsdoorsnede gegeven is. Stelt u zich tevreden met een wat versimpelde berekening</t>
  </si>
  <si>
    <t>dan wordt de radius van de betreffende kooi:</t>
  </si>
  <si>
    <t>Uit een grafiek van Machaj blijkt dat bij korte oscillaties met golven van een periode van 3 tot</t>
  </si>
  <si>
    <t>6 sekonden G's van hoger dan 0,08 al grote problemen voor een slaper optreden. Bij een G van</t>
  </si>
  <si>
    <t>0,18 wordt slapen in de kooi al onmogelijk. Bij oscillaties met een periode van 12 sekonden</t>
  </si>
  <si>
    <t>verbeteren de waarden aanmerkelijk. Moeilijkheden treden pas op bij G's van 0,26 en de</t>
  </si>
  <si>
    <t>tolerantiegrens verschuift naar 0,59. Uit ervaring is het aannemelijk dat aanmerkelijk langere</t>
  </si>
  <si>
    <t>perioden dan 12 sekonden weer meer problemen zullen opleveren. Je dommelt immers in en wordt</t>
  </si>
  <si>
    <t>vervolgens heftig gekatapulleerd. Dat is de situatie bij windstilte met trage deining.</t>
  </si>
  <si>
    <t>J 92</t>
  </si>
  <si>
    <t>X 302</t>
  </si>
  <si>
    <t>De komfortfaktor volgens Brewer. Een pittig schip skoort rondom de 150 en een</t>
  </si>
  <si>
    <t>Ook akseleraties bij slingerbewegingen, maar nu bij een voordewindse koers met een</t>
  </si>
  <si>
    <t>De stamptijd in sekonden volgens de verkorte formule van Marchaj.</t>
  </si>
  <si>
    <r>
      <t>Berekening stampekseleraties in G's (m/sek</t>
    </r>
    <r>
      <rPr>
        <vertAlign val="superscript"/>
        <sz val="14"/>
        <rFont val="Comic Sans MS"/>
        <family val="4"/>
      </rPr>
      <t>2</t>
    </r>
    <r>
      <rPr>
        <sz val="14"/>
        <rFont val="Comic Sans MS"/>
        <family val="4"/>
      </rPr>
      <t>)</t>
    </r>
  </si>
  <si>
    <t>((Breedte schip op de betreffende plaats / 2 - 45 cm) + 7%).</t>
  </si>
  <si>
    <t>Contest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</si>
</sst>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0.0"/>
    <numFmt numFmtId="183" formatCode="#,##0.0000"/>
    <numFmt numFmtId="185" formatCode="#,##0.0"/>
  </numFmts>
  <fonts count="15" x14ac:knownFonts="1">
    <font>
      <sz val="10"/>
      <name val="Arial"/>
    </font>
    <font>
      <b/>
      <sz val="10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11"/>
      <name val="Comic Sans MS"/>
      <family val="4"/>
    </font>
    <font>
      <b/>
      <sz val="12"/>
      <name val="Comic Sans MS"/>
      <family val="4"/>
    </font>
    <font>
      <sz val="10"/>
      <name val="Arial"/>
      <family val="2"/>
    </font>
    <font>
      <vertAlign val="superscript"/>
      <sz val="8"/>
      <name val="Comic Sans MS"/>
      <family val="4"/>
    </font>
    <font>
      <sz val="14"/>
      <name val="Comic Sans MS"/>
      <family val="4"/>
    </font>
    <font>
      <sz val="8"/>
      <color indexed="23"/>
      <name val="Comic Sans MS"/>
      <family val="4"/>
    </font>
    <font>
      <sz val="10"/>
      <color indexed="10"/>
      <name val="Comic Sans MS"/>
      <family val="4"/>
    </font>
    <font>
      <sz val="9"/>
      <name val="Comic Sans MS"/>
      <family val="4"/>
    </font>
    <font>
      <vertAlign val="superscript"/>
      <sz val="14"/>
      <name val="Comic Sans MS"/>
      <family val="4"/>
    </font>
    <font>
      <sz val="9"/>
      <color indexed="10"/>
      <name val="Comic Sans MS"/>
      <family val="4"/>
    </font>
    <font>
      <sz val="10"/>
      <color indexed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 inden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 indent="1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2" fontId="3" fillId="0" borderId="0" xfId="0" applyNumberFormat="1" applyFont="1" applyFill="1" applyAlignment="1" applyProtection="1">
      <alignment vertical="center"/>
      <protection hidden="1"/>
    </xf>
    <xf numFmtId="1" fontId="3" fillId="0" borderId="4" xfId="0" applyNumberFormat="1" applyFont="1" applyFill="1" applyBorder="1" applyAlignment="1" applyProtection="1">
      <alignment horizontal="center" vertical="center"/>
      <protection hidden="1"/>
    </xf>
    <xf numFmtId="1" fontId="3" fillId="0" borderId="5" xfId="0" applyNumberFormat="1" applyFont="1" applyFill="1" applyBorder="1" applyAlignment="1" applyProtection="1">
      <alignment horizontal="center" vertical="center"/>
      <protection hidden="1"/>
    </xf>
    <xf numFmtId="2" fontId="3" fillId="0" borderId="6" xfId="0" applyNumberFormat="1" applyFont="1" applyFill="1" applyBorder="1" applyAlignment="1" applyProtection="1">
      <alignment horizontal="center" vertical="center"/>
      <protection hidden="1"/>
    </xf>
    <xf numFmtId="182" fontId="3" fillId="0" borderId="7" xfId="0" applyNumberFormat="1" applyFont="1" applyFill="1" applyBorder="1" applyAlignment="1" applyProtection="1">
      <alignment horizontal="center" vertical="center"/>
      <protection hidden="1"/>
    </xf>
    <xf numFmtId="2" fontId="3" fillId="0" borderId="8" xfId="0" applyNumberFormat="1" applyFont="1" applyFill="1" applyBorder="1" applyAlignment="1" applyProtection="1">
      <alignment horizontal="center" vertical="center"/>
      <protection hidden="1"/>
    </xf>
    <xf numFmtId="2" fontId="3" fillId="0" borderId="9" xfId="0" applyNumberFormat="1" applyFont="1" applyFill="1" applyBorder="1" applyAlignment="1" applyProtection="1">
      <alignment horizontal="center" vertical="center"/>
      <protection hidden="1"/>
    </xf>
    <xf numFmtId="182" fontId="3" fillId="0" borderId="10" xfId="0" applyNumberFormat="1" applyFont="1" applyFill="1" applyBorder="1" applyAlignment="1" applyProtection="1">
      <alignment horizontal="center" vertical="center"/>
      <protection hidden="1"/>
    </xf>
    <xf numFmtId="2" fontId="3" fillId="0" borderId="11" xfId="0" applyNumberFormat="1" applyFont="1" applyFill="1" applyBorder="1" applyAlignment="1" applyProtection="1">
      <alignment horizontal="center" vertical="center"/>
      <protection hidden="1"/>
    </xf>
    <xf numFmtId="2" fontId="3" fillId="0" borderId="2" xfId="0" applyNumberFormat="1" applyFont="1" applyFill="1" applyBorder="1" applyAlignment="1" applyProtection="1">
      <alignment horizontal="center" vertical="center"/>
      <protection hidden="1"/>
    </xf>
    <xf numFmtId="182" fontId="3" fillId="0" borderId="1" xfId="0" applyNumberFormat="1" applyFont="1" applyFill="1" applyBorder="1" applyAlignment="1" applyProtection="1">
      <alignment horizontal="center" vertical="center"/>
      <protection hidden="1"/>
    </xf>
    <xf numFmtId="2" fontId="3" fillId="0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3" fontId="3" fillId="0" borderId="7" xfId="0" applyNumberFormat="1" applyFont="1" applyFill="1" applyBorder="1" applyAlignment="1" applyProtection="1">
      <alignment horizontal="center" vertical="center"/>
      <protection hidden="1"/>
    </xf>
    <xf numFmtId="4" fontId="3" fillId="0" borderId="6" xfId="0" applyNumberFormat="1" applyFont="1" applyFill="1" applyBorder="1" applyAlignment="1" applyProtection="1">
      <alignment horizontal="center" vertical="center"/>
      <protection hidden="1"/>
    </xf>
    <xf numFmtId="2" fontId="3" fillId="0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13" xfId="0" applyFont="1" applyFill="1" applyBorder="1" applyAlignment="1" applyProtection="1">
      <alignment horizontal="right" vertical="center"/>
      <protection hidden="1"/>
    </xf>
    <xf numFmtId="0" fontId="3" fillId="0" borderId="14" xfId="0" applyFont="1" applyFill="1" applyBorder="1" applyAlignment="1" applyProtection="1">
      <alignment vertical="center"/>
      <protection hidden="1"/>
    </xf>
    <xf numFmtId="3" fontId="3" fillId="0" borderId="10" xfId="0" applyNumberFormat="1" applyFont="1" applyFill="1" applyBorder="1" applyAlignment="1" applyProtection="1">
      <alignment horizontal="center" vertical="center"/>
      <protection hidden="1"/>
    </xf>
    <xf numFmtId="2" fontId="3" fillId="0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left" vertical="center" indent="1"/>
      <protection hidden="1"/>
    </xf>
    <xf numFmtId="0" fontId="3" fillId="0" borderId="15" xfId="0" applyFont="1" applyFill="1" applyBorder="1" applyAlignment="1" applyProtection="1">
      <alignment horizontal="right" vertical="center"/>
      <protection hidden="1"/>
    </xf>
    <xf numFmtId="0" fontId="3" fillId="0" borderId="16" xfId="0" applyFont="1" applyFill="1" applyBorder="1" applyAlignment="1" applyProtection="1">
      <alignment vertical="center"/>
      <protection hidden="1"/>
    </xf>
    <xf numFmtId="0" fontId="3" fillId="0" borderId="16" xfId="0" applyFont="1" applyFill="1" applyBorder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3" fillId="0" borderId="17" xfId="0" applyFont="1" applyFill="1" applyBorder="1" applyAlignment="1" applyProtection="1">
      <alignment horizontal="right" vertical="center"/>
      <protection hidden="1"/>
    </xf>
    <xf numFmtId="0" fontId="3" fillId="0" borderId="18" xfId="0" applyFont="1" applyFill="1" applyBorder="1" applyAlignment="1" applyProtection="1">
      <alignment vertical="center"/>
      <protection hidden="1"/>
    </xf>
    <xf numFmtId="3" fontId="3" fillId="0" borderId="19" xfId="0" applyNumberFormat="1" applyFont="1" applyFill="1" applyBorder="1" applyAlignment="1" applyProtection="1">
      <alignment horizontal="center" vertical="center"/>
      <protection hidden="1"/>
    </xf>
    <xf numFmtId="2" fontId="3" fillId="0" borderId="19" xfId="0" applyNumberFormat="1" applyFont="1" applyFill="1" applyBorder="1" applyAlignment="1" applyProtection="1">
      <alignment horizontal="center" vertical="center"/>
      <protection hidden="1"/>
    </xf>
    <xf numFmtId="1" fontId="3" fillId="0" borderId="20" xfId="0" applyNumberFormat="1" applyFont="1" applyFill="1" applyBorder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left" vertical="center" indent="1"/>
      <protection hidden="1"/>
    </xf>
    <xf numFmtId="0" fontId="3" fillId="0" borderId="21" xfId="0" applyFont="1" applyFill="1" applyBorder="1" applyAlignment="1" applyProtection="1">
      <alignment horizontal="center" vertical="center"/>
      <protection hidden="1"/>
    </xf>
    <xf numFmtId="0" fontId="3" fillId="0" borderId="21" xfId="0" applyFont="1" applyFill="1" applyBorder="1" applyAlignment="1" applyProtection="1">
      <alignment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23" xfId="0" applyFont="1" applyFill="1" applyBorder="1" applyAlignment="1" applyProtection="1">
      <alignment horizontal="center" vertical="center"/>
      <protection hidden="1"/>
    </xf>
    <xf numFmtId="0" fontId="3" fillId="2" borderId="24" xfId="0" applyFont="1" applyFill="1" applyBorder="1" applyAlignment="1" applyProtection="1">
      <alignment horizontal="center" vertical="center"/>
      <protection hidden="1"/>
    </xf>
    <xf numFmtId="0" fontId="3" fillId="2" borderId="25" xfId="0" applyFont="1" applyFill="1" applyBorder="1" applyAlignment="1" applyProtection="1">
      <alignment horizontal="center" vertical="center"/>
      <protection hidden="1"/>
    </xf>
    <xf numFmtId="0" fontId="3" fillId="2" borderId="26" xfId="0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4" fontId="3" fillId="0" borderId="1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6" fillId="0" borderId="0" xfId="0" applyFont="1" applyFill="1" applyProtection="1"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top"/>
      <protection hidden="1"/>
    </xf>
    <xf numFmtId="185" fontId="3" fillId="0" borderId="7" xfId="0" applyNumberFormat="1" applyFont="1" applyFill="1" applyBorder="1" applyAlignment="1" applyProtection="1">
      <alignment horizontal="center" vertical="center"/>
      <protection hidden="1"/>
    </xf>
    <xf numFmtId="185" fontId="3" fillId="0" borderId="10" xfId="0" applyNumberFormat="1" applyFont="1" applyFill="1" applyBorder="1" applyAlignment="1" applyProtection="1">
      <alignment horizontal="center" vertical="center"/>
      <protection hidden="1"/>
    </xf>
    <xf numFmtId="185" fontId="3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left" vertical="center" indent="1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2" fillId="0" borderId="22" xfId="0" applyFont="1" applyFill="1" applyBorder="1" applyAlignment="1" applyProtection="1">
      <alignment horizontal="left" vertical="center" indent="1"/>
      <protection hidden="1"/>
    </xf>
    <xf numFmtId="0" fontId="2" fillId="0" borderId="28" xfId="0" applyFont="1" applyFill="1" applyBorder="1" applyAlignment="1" applyProtection="1">
      <alignment horizontal="left" vertical="center"/>
      <protection hidden="1"/>
    </xf>
    <xf numFmtId="0" fontId="2" fillId="0" borderId="26" xfId="0" applyFont="1" applyFill="1" applyBorder="1" applyAlignment="1" applyProtection="1">
      <alignment horizontal="left" vertical="center" indent="1"/>
      <protection hidden="1"/>
    </xf>
    <xf numFmtId="0" fontId="2" fillId="0" borderId="29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30" xfId="0" applyFont="1" applyFill="1" applyBorder="1" applyAlignment="1" applyProtection="1">
      <alignment horizontal="left" vertical="center" indent="1"/>
      <protection hidden="1"/>
    </xf>
    <xf numFmtId="0" fontId="2" fillId="0" borderId="29" xfId="0" applyFont="1" applyFill="1" applyBorder="1" applyAlignment="1" applyProtection="1">
      <alignment horizontal="left" vertical="center" indent="1"/>
      <protection hidden="1"/>
    </xf>
    <xf numFmtId="0" fontId="2" fillId="0" borderId="31" xfId="0" applyFont="1" applyFill="1" applyBorder="1" applyAlignment="1" applyProtection="1">
      <alignment horizontal="left" vertical="center" indent="1"/>
      <protection hidden="1"/>
    </xf>
    <xf numFmtId="1" fontId="9" fillId="0" borderId="20" xfId="0" applyNumberFormat="1" applyFont="1" applyFill="1" applyBorder="1" applyAlignment="1" applyProtection="1">
      <alignment horizontal="center" vertical="center"/>
      <protection hidden="1"/>
    </xf>
    <xf numFmtId="1" fontId="9" fillId="0" borderId="4" xfId="0" applyNumberFormat="1" applyFont="1" applyFill="1" applyBorder="1" applyAlignment="1" applyProtection="1">
      <alignment horizontal="center" vertical="center"/>
      <protection hidden="1"/>
    </xf>
    <xf numFmtId="1" fontId="9" fillId="0" borderId="5" xfId="0" applyNumberFormat="1" applyFont="1" applyFill="1" applyBorder="1" applyAlignment="1" applyProtection="1">
      <alignment horizontal="center" vertical="center"/>
      <protection hidden="1"/>
    </xf>
    <xf numFmtId="4" fontId="9" fillId="0" borderId="32" xfId="0" applyNumberFormat="1" applyFont="1" applyFill="1" applyBorder="1" applyAlignment="1" applyProtection="1">
      <alignment horizontal="center" vertical="center"/>
      <protection hidden="1"/>
    </xf>
    <xf numFmtId="4" fontId="9" fillId="0" borderId="9" xfId="0" applyNumberFormat="1" applyFont="1" applyFill="1" applyBorder="1" applyAlignment="1" applyProtection="1">
      <alignment horizontal="center" vertical="center"/>
      <protection hidden="1"/>
    </xf>
    <xf numFmtId="4" fontId="9" fillId="0" borderId="2" xfId="0" applyNumberFormat="1" applyFont="1" applyFill="1" applyBorder="1" applyAlignment="1" applyProtection="1">
      <alignment horizontal="center" vertical="center"/>
      <protection hidden="1"/>
    </xf>
    <xf numFmtId="183" fontId="9" fillId="0" borderId="32" xfId="0" applyNumberFormat="1" applyFont="1" applyFill="1" applyBorder="1" applyAlignment="1" applyProtection="1">
      <alignment horizontal="center" vertical="center"/>
      <protection hidden="1"/>
    </xf>
    <xf numFmtId="183" fontId="9" fillId="0" borderId="9" xfId="0" applyNumberFormat="1" applyFont="1" applyFill="1" applyBorder="1" applyAlignment="1" applyProtection="1">
      <alignment horizontal="center" vertical="center"/>
      <protection hidden="1"/>
    </xf>
    <xf numFmtId="0" fontId="9" fillId="0" borderId="9" xfId="0" applyFont="1" applyFill="1" applyBorder="1" applyAlignment="1" applyProtection="1">
      <alignment horizontal="center" vertical="center"/>
      <protection hidden="1"/>
    </xf>
    <xf numFmtId="183" fontId="9" fillId="0" borderId="2" xfId="0" applyNumberFormat="1" applyFont="1" applyFill="1" applyBorder="1" applyAlignment="1" applyProtection="1">
      <alignment horizontal="center" vertical="center"/>
      <protection hidden="1"/>
    </xf>
    <xf numFmtId="1" fontId="9" fillId="0" borderId="33" xfId="0" applyNumberFormat="1" applyFont="1" applyFill="1" applyBorder="1" applyAlignment="1" applyProtection="1">
      <alignment horizontal="center" vertical="center"/>
      <protection hidden="1"/>
    </xf>
    <xf numFmtId="1" fontId="9" fillId="0" borderId="13" xfId="0" applyNumberFormat="1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2" fillId="0" borderId="34" xfId="0" applyFont="1" applyFill="1" applyBorder="1" applyAlignment="1" applyProtection="1">
      <alignment horizontal="left" vertical="center"/>
      <protection hidden="1"/>
    </xf>
    <xf numFmtId="0" fontId="1" fillId="0" borderId="12" xfId="0" applyFont="1" applyFill="1" applyBorder="1" applyAlignment="1" applyProtection="1">
      <alignment horizontal="left" vertical="center"/>
      <protection hidden="1"/>
    </xf>
    <xf numFmtId="0" fontId="2" fillId="0" borderId="35" xfId="0" applyFont="1" applyBorder="1" applyAlignment="1" applyProtection="1">
      <alignment horizontal="left" vertical="center" indent="1"/>
      <protection hidden="1"/>
    </xf>
    <xf numFmtId="4" fontId="3" fillId="0" borderId="7" xfId="0" applyNumberFormat="1" applyFont="1" applyFill="1" applyBorder="1" applyAlignment="1" applyProtection="1">
      <alignment horizontal="center" vertical="center"/>
      <protection hidden="1"/>
    </xf>
    <xf numFmtId="4" fontId="3" fillId="0" borderId="8" xfId="0" applyNumberFormat="1" applyFont="1" applyFill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2" fillId="0" borderId="16" xfId="0" applyFont="1" applyBorder="1" applyAlignment="1" applyProtection="1">
      <alignment horizontal="left" vertical="center" indent="1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4" fontId="2" fillId="0" borderId="6" xfId="0" applyNumberFormat="1" applyFont="1" applyFill="1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horizontal="center" vertical="center"/>
      <protection hidden="1"/>
    </xf>
    <xf numFmtId="182" fontId="2" fillId="0" borderId="37" xfId="0" applyNumberFormat="1" applyFont="1" applyBorder="1" applyAlignment="1" applyProtection="1">
      <alignment horizontal="center" vertical="center"/>
      <protection hidden="1"/>
    </xf>
    <xf numFmtId="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82" fontId="2" fillId="0" borderId="5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right" vertical="center"/>
      <protection hidden="1"/>
    </xf>
    <xf numFmtId="2" fontId="10" fillId="0" borderId="1" xfId="0" applyNumberFormat="1" applyFont="1" applyFill="1" applyBorder="1" applyAlignment="1" applyProtection="1">
      <alignment horizontal="center" vertical="center"/>
      <protection hidden="1"/>
    </xf>
    <xf numFmtId="3" fontId="10" fillId="0" borderId="1" xfId="0" applyNumberFormat="1" applyFont="1" applyFill="1" applyBorder="1" applyAlignment="1" applyProtection="1">
      <alignment horizontal="center" vertical="center"/>
      <protection hidden="1"/>
    </xf>
    <xf numFmtId="4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4" fontId="10" fillId="0" borderId="3" xfId="0" applyNumberFormat="1" applyFont="1" applyFill="1" applyBorder="1" applyAlignment="1" applyProtection="1">
      <alignment horizontal="center" vertical="center"/>
      <protection hidden="1"/>
    </xf>
    <xf numFmtId="4" fontId="10" fillId="0" borderId="2" xfId="0" applyNumberFormat="1" applyFont="1" applyFill="1" applyBorder="1" applyAlignment="1" applyProtection="1">
      <alignment horizontal="center" vertical="center"/>
      <protection hidden="1"/>
    </xf>
    <xf numFmtId="0" fontId="10" fillId="0" borderId="15" xfId="0" applyFont="1" applyFill="1" applyBorder="1" applyAlignment="1" applyProtection="1">
      <alignment horizontal="right" vertical="center"/>
      <protection locked="0" hidden="1"/>
    </xf>
    <xf numFmtId="3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2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182" fontId="14" fillId="0" borderId="0" xfId="0" applyNumberFormat="1" applyFont="1" applyFill="1" applyAlignment="1" applyProtection="1">
      <alignment horizontal="center" vertical="center"/>
      <protection hidden="1"/>
    </xf>
    <xf numFmtId="0" fontId="14" fillId="0" borderId="0" xfId="0" applyFont="1" applyFill="1" applyAlignment="1" applyProtection="1">
      <alignment horizontal="center" vertical="center"/>
      <protection hidden="1"/>
    </xf>
    <xf numFmtId="1" fontId="2" fillId="0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8" fillId="2" borderId="22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28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8" fillId="2" borderId="30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8" fillId="2" borderId="31" xfId="0" applyFont="1" applyFill="1" applyBorder="1" applyAlignment="1" applyProtection="1">
      <alignment horizontal="center" vertical="center"/>
      <protection hidden="1"/>
    </xf>
    <xf numFmtId="0" fontId="3" fillId="2" borderId="33" xfId="0" applyFont="1" applyFill="1" applyBorder="1" applyAlignment="1" applyProtection="1">
      <alignment horizontal="center" vertical="center"/>
      <protection hidden="1"/>
    </xf>
    <xf numFmtId="0" fontId="3" fillId="2" borderId="35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/>
      <protection hidden="1"/>
    </xf>
    <xf numFmtId="0" fontId="3" fillId="2" borderId="34" xfId="0" applyFont="1" applyFill="1" applyBorder="1" applyAlignment="1" applyProtection="1">
      <alignment horizontal="center"/>
      <protection hidden="1"/>
    </xf>
    <xf numFmtId="0" fontId="3" fillId="2" borderId="28" xfId="0" applyFont="1" applyFill="1" applyBorder="1" applyAlignment="1" applyProtection="1">
      <alignment horizont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30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top"/>
      <protection hidden="1"/>
    </xf>
    <xf numFmtId="0" fontId="3" fillId="2" borderId="18" xfId="0" applyFont="1" applyFill="1" applyBorder="1" applyAlignment="1" applyProtection="1">
      <alignment horizontal="center" vertical="top"/>
      <protection hidden="1"/>
    </xf>
    <xf numFmtId="0" fontId="3" fillId="2" borderId="38" xfId="0" applyFont="1" applyFill="1" applyBorder="1" applyAlignment="1" applyProtection="1">
      <alignment horizontal="center" vertical="top"/>
      <protection hidden="1"/>
    </xf>
    <xf numFmtId="0" fontId="3" fillId="2" borderId="41" xfId="0" applyFont="1" applyFill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left" vertical="center" indent="1"/>
      <protection hidden="1"/>
    </xf>
    <xf numFmtId="0" fontId="2" fillId="0" borderId="0" xfId="0" applyFont="1" applyBorder="1" applyAlignment="1" applyProtection="1">
      <alignment horizontal="left" vertical="center" indent="1"/>
      <protection hidden="1"/>
    </xf>
    <xf numFmtId="0" fontId="2" fillId="0" borderId="29" xfId="0" applyFont="1" applyBorder="1" applyAlignment="1" applyProtection="1">
      <alignment horizontal="left" vertical="center" indent="1"/>
      <protection hidden="1"/>
    </xf>
    <xf numFmtId="0" fontId="2" fillId="0" borderId="30" xfId="0" applyFont="1" applyBorder="1" applyAlignment="1" applyProtection="1">
      <alignment horizontal="left" vertical="center" indent="1"/>
      <protection hidden="1"/>
    </xf>
    <xf numFmtId="0" fontId="2" fillId="0" borderId="12" xfId="0" applyFont="1" applyBorder="1" applyAlignment="1" applyProtection="1">
      <alignment horizontal="left" vertical="center" indent="1"/>
      <protection hidden="1"/>
    </xf>
    <xf numFmtId="0" fontId="2" fillId="0" borderId="31" xfId="0" applyFont="1" applyBorder="1" applyAlignment="1" applyProtection="1">
      <alignment horizontal="left" vertical="center" indent="1"/>
      <protection hidden="1"/>
    </xf>
    <xf numFmtId="0" fontId="2" fillId="0" borderId="22" xfId="0" applyFont="1" applyBorder="1" applyAlignment="1" applyProtection="1">
      <alignment horizontal="left" vertical="center" indent="1"/>
      <protection hidden="1"/>
    </xf>
    <xf numFmtId="0" fontId="2" fillId="0" borderId="34" xfId="0" applyFont="1" applyBorder="1" applyAlignment="1" applyProtection="1">
      <alignment horizontal="left" vertical="center" indent="1"/>
      <protection hidden="1"/>
    </xf>
    <xf numFmtId="0" fontId="2" fillId="0" borderId="28" xfId="0" applyFont="1" applyBorder="1" applyAlignment="1" applyProtection="1">
      <alignment horizontal="left" vertical="center" indent="1"/>
      <protection hidden="1"/>
    </xf>
    <xf numFmtId="0" fontId="8" fillId="2" borderId="39" xfId="0" applyFont="1" applyFill="1" applyBorder="1" applyAlignment="1" applyProtection="1">
      <alignment horizontal="center" vertical="center"/>
      <protection hidden="1"/>
    </xf>
    <xf numFmtId="0" fontId="8" fillId="2" borderId="21" xfId="0" applyFont="1" applyFill="1" applyBorder="1" applyAlignment="1" applyProtection="1">
      <alignment horizontal="center" vertical="center"/>
      <protection hidden="1"/>
    </xf>
    <xf numFmtId="0" fontId="8" fillId="2" borderId="40" xfId="0" applyFont="1" applyFill="1" applyBorder="1" applyAlignment="1" applyProtection="1">
      <alignment horizontal="center" vertical="center"/>
      <protection hidden="1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tabSelected="1" workbookViewId="0">
      <selection activeCell="M32" sqref="M32"/>
    </sheetView>
  </sheetViews>
  <sheetFormatPr defaultRowHeight="17.45" customHeight="1" x14ac:dyDescent="0.2"/>
  <cols>
    <col min="1" max="1" width="15.7109375" style="14" customWidth="1"/>
    <col min="2" max="2" width="1.7109375" style="14" customWidth="1"/>
    <col min="3" max="15" width="8.7109375" style="15" customWidth="1"/>
    <col min="16" max="16" width="15.7109375" style="30" customWidth="1"/>
    <col min="17" max="17" width="1.7109375" style="30" customWidth="1"/>
    <col min="18" max="22" width="8.7109375" style="15" customWidth="1"/>
    <col min="23" max="23" width="0.85546875" style="58" customWidth="1"/>
    <col min="24" max="24" width="2.7109375" style="30" customWidth="1"/>
    <col min="25" max="25" width="2.7109375" style="72" customWidth="1"/>
    <col min="26" max="26" width="67.7109375" style="72" customWidth="1"/>
    <col min="27" max="16384" width="9.140625" style="14"/>
  </cols>
  <sheetData>
    <row r="1" spans="1:39" ht="17.45" customHeight="1" x14ac:dyDescent="0.3">
      <c r="A1" s="93"/>
      <c r="B1" s="93"/>
      <c r="C1" s="93"/>
      <c r="D1" s="93"/>
      <c r="E1" s="93"/>
      <c r="F1" s="93"/>
      <c r="G1" s="93"/>
      <c r="H1" s="93"/>
      <c r="I1" s="93"/>
      <c r="J1" s="93"/>
      <c r="K1" s="137" t="s">
        <v>52</v>
      </c>
      <c r="L1" s="139"/>
      <c r="M1" s="137" t="s">
        <v>70</v>
      </c>
      <c r="N1" s="138"/>
      <c r="O1" s="139"/>
      <c r="S1" s="137" t="s">
        <v>71</v>
      </c>
      <c r="T1" s="138"/>
      <c r="U1" s="138"/>
      <c r="V1" s="139"/>
      <c r="X1" s="126" t="s">
        <v>58</v>
      </c>
      <c r="Y1" s="127"/>
      <c r="Z1" s="128"/>
    </row>
    <row r="2" spans="1:39" ht="17.45" customHeight="1" x14ac:dyDescent="0.2">
      <c r="A2" s="140" t="s">
        <v>78</v>
      </c>
      <c r="B2" s="141"/>
      <c r="C2" s="135" t="s">
        <v>34</v>
      </c>
      <c r="D2" s="136"/>
      <c r="E2" s="135" t="s">
        <v>0</v>
      </c>
      <c r="F2" s="136"/>
      <c r="G2" s="135" t="s">
        <v>1</v>
      </c>
      <c r="H2" s="136"/>
      <c r="I2" s="135" t="s">
        <v>35</v>
      </c>
      <c r="J2" s="136"/>
      <c r="K2" s="144" t="s">
        <v>53</v>
      </c>
      <c r="L2" s="145"/>
      <c r="M2" s="144" t="s">
        <v>55</v>
      </c>
      <c r="N2" s="146"/>
      <c r="O2" s="145"/>
      <c r="P2" s="140" t="s">
        <v>78</v>
      </c>
      <c r="Q2" s="141"/>
      <c r="R2" s="51" t="s">
        <v>50</v>
      </c>
      <c r="S2" s="144" t="s">
        <v>57</v>
      </c>
      <c r="T2" s="146"/>
      <c r="U2" s="146"/>
      <c r="V2" s="145"/>
      <c r="X2" s="129"/>
      <c r="Y2" s="130"/>
      <c r="Z2" s="131"/>
    </row>
    <row r="3" spans="1:39" ht="17.45" customHeight="1" x14ac:dyDescent="0.2">
      <c r="A3" s="142"/>
      <c r="B3" s="143"/>
      <c r="C3" s="52" t="s">
        <v>2</v>
      </c>
      <c r="D3" s="53" t="s">
        <v>3</v>
      </c>
      <c r="E3" s="52" t="s">
        <v>4</v>
      </c>
      <c r="F3" s="54" t="s">
        <v>5</v>
      </c>
      <c r="G3" s="52" t="s">
        <v>4</v>
      </c>
      <c r="H3" s="54" t="s">
        <v>5</v>
      </c>
      <c r="I3" s="52" t="s">
        <v>4</v>
      </c>
      <c r="J3" s="53" t="s">
        <v>5</v>
      </c>
      <c r="K3" s="61" t="s">
        <v>5</v>
      </c>
      <c r="L3" s="63" t="s">
        <v>4</v>
      </c>
      <c r="M3" s="64" t="s">
        <v>54</v>
      </c>
      <c r="N3" s="60" t="s">
        <v>8</v>
      </c>
      <c r="O3" s="62" t="s">
        <v>6</v>
      </c>
      <c r="P3" s="142"/>
      <c r="Q3" s="143"/>
      <c r="R3" s="55" t="s">
        <v>51</v>
      </c>
      <c r="S3" s="61" t="s">
        <v>56</v>
      </c>
      <c r="T3" s="60" t="s">
        <v>7</v>
      </c>
      <c r="U3" s="60" t="s">
        <v>8</v>
      </c>
      <c r="V3" s="62" t="s">
        <v>9</v>
      </c>
      <c r="X3" s="132"/>
      <c r="Y3" s="133"/>
      <c r="Z3" s="134"/>
    </row>
    <row r="4" spans="1:39" s="50" customFormat="1" ht="5.0999999999999996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29"/>
      <c r="N4" s="29"/>
      <c r="O4" s="29"/>
      <c r="P4" s="49"/>
      <c r="Q4" s="49"/>
      <c r="R4" s="49"/>
      <c r="S4" s="29"/>
      <c r="T4" s="29"/>
      <c r="U4" s="29"/>
      <c r="V4" s="29"/>
      <c r="W4" s="68"/>
      <c r="X4" s="70"/>
      <c r="Y4" s="71"/>
      <c r="Z4" s="71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</row>
    <row r="5" spans="1:39" ht="17.45" customHeight="1" x14ac:dyDescent="0.2">
      <c r="A5" s="43" t="s">
        <v>27</v>
      </c>
      <c r="B5" s="44"/>
      <c r="C5" s="45">
        <v>2250</v>
      </c>
      <c r="D5" s="84">
        <f t="shared" ref="D5:D23" si="0">C5*2.2046</f>
        <v>4960.3500000000004</v>
      </c>
      <c r="E5" s="46">
        <v>6.3</v>
      </c>
      <c r="F5" s="87">
        <f t="shared" ref="F5:F23" si="1">E5*100/30.46</f>
        <v>20.682862770847013</v>
      </c>
      <c r="G5" s="46">
        <v>7.44</v>
      </c>
      <c r="H5" s="87">
        <f t="shared" ref="H5:H23" si="2">G5*100/30.46</f>
        <v>24.425476034143138</v>
      </c>
      <c r="I5" s="46">
        <v>2.44</v>
      </c>
      <c r="J5" s="87">
        <f t="shared" ref="J5:J23" si="3">I5*100/30.46</f>
        <v>8.0105055810899533</v>
      </c>
      <c r="K5" s="81">
        <f t="shared" ref="K5:K31" si="4">D5/(0.65*(0.7*F5+0.3*H5)*POWER(J5,1.33))</f>
        <v>21.986813314490195</v>
      </c>
      <c r="L5" s="47">
        <f t="shared" ref="L5:L31" si="5">C5/(0.65*(0.7*E5+0.3*G5)*POWER(I5,1.33))</f>
        <v>159.12624741488386</v>
      </c>
      <c r="M5" s="65">
        <f t="shared" ref="M5:M30" si="6">(2*PI()*POWER((POWER(D5,1.744)/35.5)/(82.43*F5*POWER((0.82*J5),3)),0.5))</f>
        <v>2.5321754341616298</v>
      </c>
      <c r="N5" s="21">
        <f t="shared" ref="N5:N32" si="7">POWER((2*PI()/(M5)),2)*((J5/2)-1.5)*(10*PI()/180)/32.2</f>
        <v>8.3607493704528288E-2</v>
      </c>
      <c r="O5" s="19">
        <f t="shared" ref="O5:O32" si="8">POWER((2*PI()/(M5)),2)*((J5/2)-1.5)*(40*PI()/180)/32.2</f>
        <v>0.33442997481811315</v>
      </c>
      <c r="P5" s="43" t="s">
        <v>27</v>
      </c>
      <c r="Q5" s="48"/>
      <c r="R5" s="91">
        <f t="shared" ref="R5:R31" si="9">POWER(D5,1.744)/35.5</f>
        <v>78477.495573927794</v>
      </c>
      <c r="S5" s="20">
        <f t="shared" ref="S5:S32" si="10">IF(M5&lt;3,0.4*SQRT(H5),0.5*SQRT(H5))</f>
        <v>1.9768854710030377</v>
      </c>
      <c r="T5" s="21">
        <f t="shared" ref="T5:T32" si="11">POWER((2*PI()/(S5)),2)*((F5/1.7)-3)*(5*PI()/180)/32.2</f>
        <v>0.25094962004952848</v>
      </c>
      <c r="U5" s="21">
        <f t="shared" ref="U5:U32" si="12">POWER((2*PI()/(S5)),2)*((F5/1.7)-3)*(10*PI()/180)/32.2</f>
        <v>0.50189924009905695</v>
      </c>
      <c r="V5" s="19">
        <f t="shared" ref="V5:V32" si="13">POWER((2*PI()/(S5)),2)*((F5/1.7)-3)*(20*PI()/180)/32.2</f>
        <v>1.0037984801981139</v>
      </c>
      <c r="X5" s="73" t="s">
        <v>72</v>
      </c>
      <c r="Y5" s="95"/>
      <c r="Z5" s="74"/>
      <c r="AA5" s="16"/>
    </row>
    <row r="6" spans="1:39" ht="17.45" customHeight="1" x14ac:dyDescent="0.2">
      <c r="A6" s="34" t="s">
        <v>15</v>
      </c>
      <c r="B6" s="35"/>
      <c r="C6" s="36">
        <v>2800</v>
      </c>
      <c r="D6" s="85">
        <f t="shared" si="0"/>
        <v>6172.88</v>
      </c>
      <c r="E6" s="37">
        <v>7.95</v>
      </c>
      <c r="F6" s="88">
        <f t="shared" si="1"/>
        <v>26.099803020354564</v>
      </c>
      <c r="G6" s="37">
        <v>8.99</v>
      </c>
      <c r="H6" s="88">
        <f t="shared" si="2"/>
        <v>29.514116874589625</v>
      </c>
      <c r="I6" s="37">
        <v>2.78</v>
      </c>
      <c r="J6" s="88">
        <f t="shared" si="3"/>
        <v>9.1267235718975694</v>
      </c>
      <c r="K6" s="82">
        <f t="shared" si="4"/>
        <v>18.49270208251875</v>
      </c>
      <c r="L6" s="17">
        <f t="shared" si="5"/>
        <v>133.83814402122917</v>
      </c>
      <c r="M6" s="66">
        <f t="shared" si="6"/>
        <v>2.2429350350210879</v>
      </c>
      <c r="N6" s="24">
        <f t="shared" si="7"/>
        <v>0.13030051539998574</v>
      </c>
      <c r="O6" s="22">
        <f t="shared" si="8"/>
        <v>0.52120206159994298</v>
      </c>
      <c r="P6" s="34" t="s">
        <v>15</v>
      </c>
      <c r="Q6" s="38"/>
      <c r="R6" s="92">
        <f t="shared" si="9"/>
        <v>114916.51056145407</v>
      </c>
      <c r="S6" s="23">
        <f t="shared" si="10"/>
        <v>2.173075861523095</v>
      </c>
      <c r="T6" s="24">
        <f t="shared" si="11"/>
        <v>0.27987735518677381</v>
      </c>
      <c r="U6" s="24">
        <f t="shared" si="12"/>
        <v>0.55975471037354763</v>
      </c>
      <c r="V6" s="22">
        <f t="shared" si="13"/>
        <v>1.1195094207470953</v>
      </c>
      <c r="X6" s="75"/>
      <c r="Y6" s="94" t="s">
        <v>59</v>
      </c>
      <c r="Z6" s="79" t="s">
        <v>62</v>
      </c>
      <c r="AA6" s="16"/>
    </row>
    <row r="7" spans="1:39" ht="17.45" customHeight="1" x14ac:dyDescent="0.2">
      <c r="A7" s="34" t="s">
        <v>13</v>
      </c>
      <c r="B7" s="35"/>
      <c r="C7" s="36">
        <v>5000</v>
      </c>
      <c r="D7" s="85">
        <f t="shared" si="0"/>
        <v>11023</v>
      </c>
      <c r="E7" s="37">
        <v>8.0500000000000007</v>
      </c>
      <c r="F7" s="88">
        <f t="shared" si="1"/>
        <v>26.428102429415631</v>
      </c>
      <c r="G7" s="37">
        <v>9</v>
      </c>
      <c r="H7" s="88">
        <f t="shared" si="2"/>
        <v>29.54694681549573</v>
      </c>
      <c r="I7" s="37">
        <v>3.2</v>
      </c>
      <c r="J7" s="88">
        <f t="shared" si="3"/>
        <v>10.505581089954038</v>
      </c>
      <c r="K7" s="82">
        <f t="shared" si="4"/>
        <v>27.14701232529038</v>
      </c>
      <c r="L7" s="17">
        <f t="shared" si="5"/>
        <v>196.47240998776914</v>
      </c>
      <c r="M7" s="66">
        <f t="shared" si="6"/>
        <v>2.9924340357327286</v>
      </c>
      <c r="N7" s="24">
        <f t="shared" si="7"/>
        <v>8.967809763749103E-2</v>
      </c>
      <c r="O7" s="22">
        <f t="shared" si="8"/>
        <v>0.35871239054996412</v>
      </c>
      <c r="P7" s="34" t="s">
        <v>13</v>
      </c>
      <c r="Q7" s="38"/>
      <c r="R7" s="92">
        <f t="shared" si="9"/>
        <v>315894.82480952854</v>
      </c>
      <c r="S7" s="23">
        <f t="shared" si="10"/>
        <v>2.1742841328766849</v>
      </c>
      <c r="T7" s="24">
        <f t="shared" si="11"/>
        <v>0.28393696788949974</v>
      </c>
      <c r="U7" s="24">
        <f t="shared" si="12"/>
        <v>0.56787393577899947</v>
      </c>
      <c r="V7" s="22">
        <f t="shared" si="13"/>
        <v>1.1357478715579989</v>
      </c>
      <c r="X7" s="75"/>
      <c r="Y7" s="94" t="s">
        <v>60</v>
      </c>
      <c r="Z7" s="79" t="s">
        <v>63</v>
      </c>
      <c r="AA7" s="16"/>
    </row>
    <row r="8" spans="1:39" ht="17.45" customHeight="1" x14ac:dyDescent="0.2">
      <c r="A8" s="34" t="s">
        <v>14</v>
      </c>
      <c r="B8" s="35"/>
      <c r="C8" s="36">
        <v>8000</v>
      </c>
      <c r="D8" s="85">
        <f t="shared" si="0"/>
        <v>17636.8</v>
      </c>
      <c r="E8" s="37">
        <v>8</v>
      </c>
      <c r="F8" s="88">
        <f t="shared" si="1"/>
        <v>26.263952724885094</v>
      </c>
      <c r="G8" s="37">
        <v>9</v>
      </c>
      <c r="H8" s="88">
        <f t="shared" si="2"/>
        <v>29.54694681549573</v>
      </c>
      <c r="I8" s="37">
        <v>3.25</v>
      </c>
      <c r="J8" s="88">
        <f t="shared" si="3"/>
        <v>10.66973079448457</v>
      </c>
      <c r="K8" s="82">
        <f t="shared" si="4"/>
        <v>42.72815452921008</v>
      </c>
      <c r="L8" s="17">
        <f t="shared" si="5"/>
        <v>309.23857823068641</v>
      </c>
      <c r="M8" s="66">
        <f t="shared" si="6"/>
        <v>4.4184514091729241</v>
      </c>
      <c r="N8" s="24">
        <f t="shared" si="7"/>
        <v>4.2033077730852984E-2</v>
      </c>
      <c r="O8" s="22">
        <f t="shared" si="8"/>
        <v>0.16813231092341194</v>
      </c>
      <c r="P8" s="34" t="s">
        <v>14</v>
      </c>
      <c r="Q8" s="38"/>
      <c r="R8" s="92">
        <f t="shared" si="9"/>
        <v>717014.20685722865</v>
      </c>
      <c r="S8" s="23">
        <f t="shared" si="10"/>
        <v>2.7178551660958559</v>
      </c>
      <c r="T8" s="24">
        <f t="shared" si="11"/>
        <v>0.18032107143589673</v>
      </c>
      <c r="U8" s="24">
        <f t="shared" si="12"/>
        <v>0.36064214287179347</v>
      </c>
      <c r="V8" s="22">
        <f t="shared" si="13"/>
        <v>0.72128428574358694</v>
      </c>
      <c r="X8" s="75"/>
      <c r="Y8" s="94" t="s">
        <v>22</v>
      </c>
      <c r="Z8" s="79" t="s">
        <v>64</v>
      </c>
      <c r="AA8" s="16"/>
    </row>
    <row r="9" spans="1:39" ht="17.45" customHeight="1" x14ac:dyDescent="0.2">
      <c r="A9" s="34" t="s">
        <v>11</v>
      </c>
      <c r="B9" s="35"/>
      <c r="C9" s="36">
        <v>3640</v>
      </c>
      <c r="D9" s="85">
        <f t="shared" si="0"/>
        <v>8024.7440000000006</v>
      </c>
      <c r="E9" s="37">
        <v>8.0299999999999994</v>
      </c>
      <c r="F9" s="88">
        <f t="shared" si="1"/>
        <v>26.362442547603411</v>
      </c>
      <c r="G9" s="37">
        <v>9.01</v>
      </c>
      <c r="H9" s="88">
        <f t="shared" si="2"/>
        <v>29.579776756401838</v>
      </c>
      <c r="I9" s="37">
        <v>3</v>
      </c>
      <c r="J9" s="88">
        <f t="shared" si="3"/>
        <v>9.8489822718319111</v>
      </c>
      <c r="K9" s="82">
        <f t="shared" si="4"/>
        <v>21.562799985293474</v>
      </c>
      <c r="L9" s="17">
        <f t="shared" si="5"/>
        <v>156.0575148539674</v>
      </c>
      <c r="M9" s="66">
        <f t="shared" si="6"/>
        <v>2.5025709643988105</v>
      </c>
      <c r="N9" s="24">
        <f t="shared" si="7"/>
        <v>0.11700501486929998</v>
      </c>
      <c r="O9" s="22">
        <f t="shared" si="8"/>
        <v>0.46802005947719993</v>
      </c>
      <c r="P9" s="34" t="s">
        <v>11</v>
      </c>
      <c r="Q9" s="38"/>
      <c r="R9" s="92">
        <f t="shared" si="9"/>
        <v>181593.22293204407</v>
      </c>
      <c r="S9" s="23">
        <f t="shared" si="10"/>
        <v>2.1754917331546664</v>
      </c>
      <c r="T9" s="24">
        <f t="shared" si="11"/>
        <v>0.28274868517538487</v>
      </c>
      <c r="U9" s="24">
        <f t="shared" si="12"/>
        <v>0.56549737035076975</v>
      </c>
      <c r="V9" s="22">
        <f t="shared" si="13"/>
        <v>1.1309947407015395</v>
      </c>
      <c r="X9" s="75"/>
      <c r="Y9" s="94" t="s">
        <v>61</v>
      </c>
      <c r="Z9" s="79" t="s">
        <v>65</v>
      </c>
      <c r="AA9" s="16"/>
    </row>
    <row r="10" spans="1:39" ht="17.45" customHeight="1" x14ac:dyDescent="0.2">
      <c r="A10" s="34" t="s">
        <v>12</v>
      </c>
      <c r="B10" s="35"/>
      <c r="C10" s="36">
        <v>3050</v>
      </c>
      <c r="D10" s="85">
        <f t="shared" si="0"/>
        <v>6724.0300000000007</v>
      </c>
      <c r="E10" s="37">
        <v>8.4</v>
      </c>
      <c r="F10" s="88">
        <f t="shared" si="1"/>
        <v>27.577150361129348</v>
      </c>
      <c r="G10" s="37">
        <v>9.02</v>
      </c>
      <c r="H10" s="88">
        <f t="shared" si="2"/>
        <v>29.612606697307942</v>
      </c>
      <c r="I10" s="37">
        <v>3.15</v>
      </c>
      <c r="J10" s="88">
        <f t="shared" si="3"/>
        <v>10.341431385423506</v>
      </c>
      <c r="K10" s="82">
        <f t="shared" si="4"/>
        <v>16.415836947613013</v>
      </c>
      <c r="L10" s="17">
        <f t="shared" si="5"/>
        <v>118.8071456415524</v>
      </c>
      <c r="M10" s="66">
        <f t="shared" si="6"/>
        <v>1.9491696290556648</v>
      </c>
      <c r="N10" s="24">
        <f t="shared" si="7"/>
        <v>0.20674390235668078</v>
      </c>
      <c r="O10" s="22">
        <f t="shared" si="8"/>
        <v>0.8269756094267231</v>
      </c>
      <c r="P10" s="34" t="s">
        <v>12</v>
      </c>
      <c r="Q10" s="38"/>
      <c r="R10" s="92">
        <f t="shared" si="9"/>
        <v>133400.58783880234</v>
      </c>
      <c r="S10" s="23">
        <f t="shared" si="10"/>
        <v>2.1766986634739478</v>
      </c>
      <c r="T10" s="24">
        <f t="shared" si="11"/>
        <v>0.2985705342098558</v>
      </c>
      <c r="U10" s="24">
        <f t="shared" si="12"/>
        <v>0.5971410684197116</v>
      </c>
      <c r="V10" s="22">
        <f t="shared" si="13"/>
        <v>1.1942821368394232</v>
      </c>
      <c r="X10" s="75" t="s">
        <v>75</v>
      </c>
      <c r="Y10" s="77"/>
      <c r="Z10" s="76"/>
      <c r="AA10" s="16"/>
    </row>
    <row r="11" spans="1:39" ht="17.45" customHeight="1" x14ac:dyDescent="0.2">
      <c r="A11" s="34" t="s">
        <v>10</v>
      </c>
      <c r="B11" s="35"/>
      <c r="C11" s="36">
        <v>5100</v>
      </c>
      <c r="D11" s="85">
        <f>C11*2.2046</f>
        <v>11243.460000000001</v>
      </c>
      <c r="E11" s="37">
        <v>8.3800000000000008</v>
      </c>
      <c r="F11" s="88">
        <f>E11*100/30.46</f>
        <v>27.511490479317139</v>
      </c>
      <c r="G11" s="37">
        <v>9.0500000000000007</v>
      </c>
      <c r="H11" s="88">
        <f>G11*100/30.46</f>
        <v>29.711096520026267</v>
      </c>
      <c r="I11" s="37">
        <v>3.12</v>
      </c>
      <c r="J11" s="88">
        <f>I11*100/30.46</f>
        <v>10.242941562705187</v>
      </c>
      <c r="K11" s="82">
        <f t="shared" si="4"/>
        <v>27.817223197799141</v>
      </c>
      <c r="L11" s="17">
        <f t="shared" si="5"/>
        <v>201.32296016043514</v>
      </c>
      <c r="M11" s="66">
        <f t="shared" si="6"/>
        <v>3.0995092932356658</v>
      </c>
      <c r="N11" s="24">
        <f t="shared" si="7"/>
        <v>8.0664107421390699E-2</v>
      </c>
      <c r="O11" s="22">
        <f t="shared" si="8"/>
        <v>0.3226564296855628</v>
      </c>
      <c r="P11" s="34" t="s">
        <v>10</v>
      </c>
      <c r="Q11" s="38"/>
      <c r="R11" s="92">
        <f t="shared" si="9"/>
        <v>326995.07424375816</v>
      </c>
      <c r="S11" s="23">
        <f t="shared" si="10"/>
        <v>2.7253943072529094</v>
      </c>
      <c r="T11" s="24">
        <f t="shared" si="11"/>
        <v>0.18989536608159963</v>
      </c>
      <c r="U11" s="24">
        <f t="shared" si="12"/>
        <v>0.37979073216319925</v>
      </c>
      <c r="V11" s="22">
        <f t="shared" si="13"/>
        <v>0.7595814643263985</v>
      </c>
      <c r="X11" s="75"/>
      <c r="Y11" s="94" t="s">
        <v>66</v>
      </c>
      <c r="Z11" s="79" t="s">
        <v>114</v>
      </c>
      <c r="AA11" s="16"/>
    </row>
    <row r="12" spans="1:39" ht="17.45" customHeight="1" x14ac:dyDescent="0.2">
      <c r="A12" s="34" t="s">
        <v>113</v>
      </c>
      <c r="B12" s="35"/>
      <c r="C12" s="36">
        <v>3800</v>
      </c>
      <c r="D12" s="85">
        <f t="shared" si="0"/>
        <v>8377.48</v>
      </c>
      <c r="E12" s="37">
        <v>8.0500000000000007</v>
      </c>
      <c r="F12" s="88">
        <f t="shared" si="1"/>
        <v>26.428102429415631</v>
      </c>
      <c r="G12" s="37">
        <v>9.1</v>
      </c>
      <c r="H12" s="88">
        <f t="shared" si="2"/>
        <v>29.875246224556793</v>
      </c>
      <c r="I12" s="37">
        <v>3</v>
      </c>
      <c r="J12" s="88">
        <f t="shared" si="3"/>
        <v>9.8489822718319111</v>
      </c>
      <c r="K12" s="82">
        <f t="shared" si="4"/>
        <v>22.400282406902605</v>
      </c>
      <c r="L12" s="17">
        <f t="shared" si="5"/>
        <v>162.11866765134729</v>
      </c>
      <c r="M12" s="66">
        <f t="shared" si="6"/>
        <v>2.5949985744281179</v>
      </c>
      <c r="N12" s="24">
        <f t="shared" si="7"/>
        <v>0.10881857434089398</v>
      </c>
      <c r="O12" s="22">
        <f t="shared" si="8"/>
        <v>0.43527429736357592</v>
      </c>
      <c r="P12" s="34" t="s">
        <v>113</v>
      </c>
      <c r="Q12" s="38"/>
      <c r="R12" s="92">
        <f t="shared" si="9"/>
        <v>195740.82571193945</v>
      </c>
      <c r="S12" s="23">
        <f t="shared" si="10"/>
        <v>2.1863301205282535</v>
      </c>
      <c r="T12" s="24">
        <f t="shared" si="11"/>
        <v>0.2808167814291756</v>
      </c>
      <c r="U12" s="24">
        <f t="shared" si="12"/>
        <v>0.5616335628583512</v>
      </c>
      <c r="V12" s="22">
        <f t="shared" si="13"/>
        <v>1.1232671257167024</v>
      </c>
      <c r="W12" s="14"/>
      <c r="X12" s="75"/>
      <c r="Y12" s="94"/>
      <c r="Z12" s="79" t="s">
        <v>69</v>
      </c>
      <c r="AB12" s="16"/>
    </row>
    <row r="13" spans="1:39" ht="17.45" customHeight="1" x14ac:dyDescent="0.2">
      <c r="A13" s="34" t="s">
        <v>16</v>
      </c>
      <c r="B13" s="35"/>
      <c r="C13" s="56">
        <v>6350</v>
      </c>
      <c r="D13" s="85">
        <f t="shared" si="0"/>
        <v>13999.210000000001</v>
      </c>
      <c r="E13" s="56">
        <v>7.85</v>
      </c>
      <c r="F13" s="89">
        <f t="shared" si="1"/>
        <v>25.7715036112935</v>
      </c>
      <c r="G13" s="56">
        <v>9.14</v>
      </c>
      <c r="H13" s="89">
        <f t="shared" si="2"/>
        <v>30.006565988181219</v>
      </c>
      <c r="I13" s="57">
        <v>2.9</v>
      </c>
      <c r="J13" s="88">
        <f t="shared" si="3"/>
        <v>9.5206828627708475</v>
      </c>
      <c r="K13" s="82">
        <f>D13/(0.65*(0.7*F13+0.3*H13)*POWER(J13,1.33))</f>
        <v>39.766963731829307</v>
      </c>
      <c r="L13" s="17">
        <f>C13/(0.65*(0.7*E13+0.3*G13)*POWER(I13,1.33))</f>
        <v>287.8074061582812</v>
      </c>
      <c r="M13" s="66">
        <f>(2*PI()*POWER((POWER(D13,1.744)/35.5)/(82.43*F13*POWER((0.82*J13),3)),0.5))</f>
        <v>4.3264582070491571</v>
      </c>
      <c r="N13" s="24">
        <f t="shared" si="7"/>
        <v>3.7271707550912477E-2</v>
      </c>
      <c r="O13" s="22">
        <f t="shared" si="8"/>
        <v>0.14908683020364991</v>
      </c>
      <c r="P13" s="34" t="s">
        <v>16</v>
      </c>
      <c r="Q13" s="38"/>
      <c r="R13" s="92">
        <f>POWER(D13,1.744)/35.5</f>
        <v>479265.53648214915</v>
      </c>
      <c r="S13" s="23">
        <f t="shared" si="10"/>
        <v>2.738912466115941</v>
      </c>
      <c r="T13" s="24">
        <f t="shared" si="11"/>
        <v>0.17342754557568119</v>
      </c>
      <c r="U13" s="24">
        <f t="shared" si="12"/>
        <v>0.34685509115136237</v>
      </c>
      <c r="V13" s="22">
        <f t="shared" si="13"/>
        <v>0.69371018230272474</v>
      </c>
      <c r="W13" s="59"/>
      <c r="X13" s="75"/>
      <c r="Y13" s="94" t="s">
        <v>67</v>
      </c>
      <c r="Z13" s="79" t="s">
        <v>73</v>
      </c>
      <c r="AA13" s="16"/>
    </row>
    <row r="14" spans="1:39" ht="17.45" customHeight="1" x14ac:dyDescent="0.2">
      <c r="A14" s="34" t="s">
        <v>112</v>
      </c>
      <c r="B14" s="35"/>
      <c r="C14" s="36">
        <v>3450</v>
      </c>
      <c r="D14" s="85">
        <f t="shared" si="0"/>
        <v>7605.8700000000008</v>
      </c>
      <c r="E14" s="37">
        <v>8.1</v>
      </c>
      <c r="F14" s="88">
        <f t="shared" si="1"/>
        <v>26.592252133946157</v>
      </c>
      <c r="G14" s="37">
        <v>9.1999999999999993</v>
      </c>
      <c r="H14" s="88">
        <f t="shared" si="2"/>
        <v>30.203545633617853</v>
      </c>
      <c r="I14" s="37">
        <v>2.98</v>
      </c>
      <c r="J14" s="88">
        <f t="shared" si="3"/>
        <v>9.7833223900196984</v>
      </c>
      <c r="K14" s="82">
        <f t="shared" si="4"/>
        <v>20.360620083966445</v>
      </c>
      <c r="L14" s="17">
        <f t="shared" si="5"/>
        <v>147.3569190159298</v>
      </c>
      <c r="M14" s="66">
        <f t="shared" si="6"/>
        <v>2.4019114638827768</v>
      </c>
      <c r="N14" s="24">
        <f t="shared" si="7"/>
        <v>0.12579972890635224</v>
      </c>
      <c r="O14" s="22">
        <f t="shared" si="8"/>
        <v>0.50319891562540897</v>
      </c>
      <c r="P14" s="34" t="s">
        <v>112</v>
      </c>
      <c r="Q14" s="38"/>
      <c r="R14" s="92">
        <f t="shared" si="9"/>
        <v>165384.69829173404</v>
      </c>
      <c r="S14" s="23">
        <f t="shared" si="10"/>
        <v>2.1983101012775377</v>
      </c>
      <c r="T14" s="24">
        <f t="shared" si="11"/>
        <v>0.27990221249388009</v>
      </c>
      <c r="U14" s="24">
        <f t="shared" si="12"/>
        <v>0.55980442498776017</v>
      </c>
      <c r="V14" s="22">
        <f t="shared" si="13"/>
        <v>1.1196088499755203</v>
      </c>
      <c r="X14" s="75"/>
      <c r="Y14" s="94"/>
      <c r="Z14" s="79" t="s">
        <v>74</v>
      </c>
      <c r="AA14" s="16"/>
    </row>
    <row r="15" spans="1:39" ht="17.45" customHeight="1" x14ac:dyDescent="0.2">
      <c r="A15" s="34" t="s">
        <v>42</v>
      </c>
      <c r="B15" s="35"/>
      <c r="C15" s="36">
        <v>4300</v>
      </c>
      <c r="D15" s="85">
        <f t="shared" si="0"/>
        <v>9479.7800000000007</v>
      </c>
      <c r="E15" s="37">
        <v>7.7</v>
      </c>
      <c r="F15" s="88">
        <f t="shared" si="1"/>
        <v>25.279054497701903</v>
      </c>
      <c r="G15" s="37">
        <v>9.3000000000000007</v>
      </c>
      <c r="H15" s="88">
        <f t="shared" si="2"/>
        <v>30.531845042678928</v>
      </c>
      <c r="I15" s="37">
        <v>3.05</v>
      </c>
      <c r="J15" s="88">
        <f t="shared" si="3"/>
        <v>10.013131976362443</v>
      </c>
      <c r="K15" s="82">
        <f t="shared" si="4"/>
        <v>25.357327320088274</v>
      </c>
      <c r="L15" s="17">
        <f t="shared" si="5"/>
        <v>183.51983451177634</v>
      </c>
      <c r="M15" s="66">
        <f t="shared" si="6"/>
        <v>2.8829361323690086</v>
      </c>
      <c r="N15" s="24">
        <f t="shared" si="7"/>
        <v>9.0280344187400635E-2</v>
      </c>
      <c r="O15" s="22">
        <f t="shared" si="8"/>
        <v>0.36112137674960254</v>
      </c>
      <c r="P15" s="34" t="s">
        <v>42</v>
      </c>
      <c r="Q15" s="38"/>
      <c r="R15" s="92">
        <f t="shared" si="9"/>
        <v>242833.05860162951</v>
      </c>
      <c r="S15" s="23">
        <f t="shared" si="10"/>
        <v>2.2102251484472411</v>
      </c>
      <c r="T15" s="24">
        <f t="shared" si="11"/>
        <v>0.25997410789656944</v>
      </c>
      <c r="U15" s="24">
        <f t="shared" si="12"/>
        <v>0.51994821579313888</v>
      </c>
      <c r="V15" s="22">
        <f t="shared" si="13"/>
        <v>1.0398964315862778</v>
      </c>
      <c r="X15" s="75"/>
      <c r="Y15" s="94"/>
      <c r="Z15" s="79" t="s">
        <v>94</v>
      </c>
      <c r="AA15" s="16"/>
    </row>
    <row r="16" spans="1:39" ht="17.45" customHeight="1" x14ac:dyDescent="0.2">
      <c r="A16" s="34" t="s">
        <v>38</v>
      </c>
      <c r="B16" s="35"/>
      <c r="C16" s="36">
        <v>3100</v>
      </c>
      <c r="D16" s="85">
        <f t="shared" si="0"/>
        <v>6834.26</v>
      </c>
      <c r="E16" s="37">
        <v>7.9</v>
      </c>
      <c r="F16" s="88">
        <f t="shared" si="1"/>
        <v>25.93565331582403</v>
      </c>
      <c r="G16" s="37">
        <v>9.3000000000000007</v>
      </c>
      <c r="H16" s="88">
        <f t="shared" si="2"/>
        <v>30.531845042678928</v>
      </c>
      <c r="I16" s="37">
        <v>3.2</v>
      </c>
      <c r="J16" s="88">
        <f t="shared" si="3"/>
        <v>10.505581089954038</v>
      </c>
      <c r="K16" s="82">
        <f t="shared" si="4"/>
        <v>16.861492258822491</v>
      </c>
      <c r="L16" s="17">
        <f t="shared" si="5"/>
        <v>122.03250878531185</v>
      </c>
      <c r="M16" s="66">
        <f t="shared" si="6"/>
        <v>1.9910150071878894</v>
      </c>
      <c r="N16" s="24">
        <f t="shared" si="7"/>
        <v>0.20257530027608642</v>
      </c>
      <c r="O16" s="22">
        <f t="shared" si="8"/>
        <v>0.81030120110434567</v>
      </c>
      <c r="P16" s="34" t="s">
        <v>38</v>
      </c>
      <c r="Q16" s="38"/>
      <c r="R16" s="92">
        <f t="shared" si="9"/>
        <v>137237.75895355572</v>
      </c>
      <c r="S16" s="23">
        <f t="shared" si="10"/>
        <v>2.2102251484472411</v>
      </c>
      <c r="T16" s="24">
        <f t="shared" si="11"/>
        <v>0.268433309590419</v>
      </c>
      <c r="U16" s="24">
        <f t="shared" si="12"/>
        <v>0.536866619180838</v>
      </c>
      <c r="V16" s="22">
        <f t="shared" si="13"/>
        <v>1.073733238361676</v>
      </c>
      <c r="X16" s="75"/>
      <c r="Y16" s="94" t="s">
        <v>68</v>
      </c>
      <c r="Z16" s="79" t="s">
        <v>76</v>
      </c>
      <c r="AA16" s="16"/>
    </row>
    <row r="17" spans="1:27" ht="17.45" customHeight="1" x14ac:dyDescent="0.2">
      <c r="A17" s="34" t="s">
        <v>39</v>
      </c>
      <c r="B17" s="35"/>
      <c r="C17" s="36">
        <v>4050</v>
      </c>
      <c r="D17" s="85">
        <f t="shared" si="0"/>
        <v>8928.630000000001</v>
      </c>
      <c r="E17" s="37">
        <v>8.2200000000000006</v>
      </c>
      <c r="F17" s="88">
        <f t="shared" si="1"/>
        <v>26.986211424819437</v>
      </c>
      <c r="G17" s="37">
        <v>9.3000000000000007</v>
      </c>
      <c r="H17" s="88">
        <f t="shared" si="2"/>
        <v>30.531845042678928</v>
      </c>
      <c r="I17" s="37">
        <v>3</v>
      </c>
      <c r="J17" s="88">
        <f t="shared" si="3"/>
        <v>9.8489822718319111</v>
      </c>
      <c r="K17" s="82">
        <f t="shared" si="4"/>
        <v>23.373816265389323</v>
      </c>
      <c r="L17" s="17">
        <f t="shared" si="5"/>
        <v>169.16447221686062</v>
      </c>
      <c r="M17" s="66">
        <f t="shared" si="6"/>
        <v>2.7147424814434444</v>
      </c>
      <c r="N17" s="24">
        <f t="shared" si="7"/>
        <v>9.9430586464933926E-2</v>
      </c>
      <c r="O17" s="22">
        <f t="shared" si="8"/>
        <v>0.3977223458597357</v>
      </c>
      <c r="P17" s="34" t="s">
        <v>39</v>
      </c>
      <c r="Q17" s="38"/>
      <c r="R17" s="92">
        <f t="shared" si="9"/>
        <v>218746.13285187166</v>
      </c>
      <c r="S17" s="23">
        <f t="shared" si="10"/>
        <v>2.2102251484472411</v>
      </c>
      <c r="T17" s="24">
        <f t="shared" si="11"/>
        <v>0.28196803230057832</v>
      </c>
      <c r="U17" s="24">
        <f t="shared" si="12"/>
        <v>0.56393606460115664</v>
      </c>
      <c r="V17" s="22">
        <f t="shared" si="13"/>
        <v>1.1278721292023133</v>
      </c>
      <c r="X17" s="75"/>
      <c r="Y17" s="94"/>
      <c r="Z17" s="79" t="s">
        <v>95</v>
      </c>
      <c r="AA17" s="16"/>
    </row>
    <row r="18" spans="1:27" ht="17.45" customHeight="1" x14ac:dyDescent="0.2">
      <c r="A18" s="34" t="s">
        <v>36</v>
      </c>
      <c r="B18" s="35"/>
      <c r="C18" s="36">
        <v>4400</v>
      </c>
      <c r="D18" s="85">
        <f t="shared" si="0"/>
        <v>9700.24</v>
      </c>
      <c r="E18" s="37">
        <v>7.6</v>
      </c>
      <c r="F18" s="88">
        <f t="shared" si="1"/>
        <v>24.95075508864084</v>
      </c>
      <c r="G18" s="37">
        <v>9.33</v>
      </c>
      <c r="H18" s="88">
        <f t="shared" si="2"/>
        <v>30.630334865397241</v>
      </c>
      <c r="I18" s="37">
        <v>2.95</v>
      </c>
      <c r="J18" s="88">
        <f t="shared" si="3"/>
        <v>9.6848325673013793</v>
      </c>
      <c r="K18" s="82">
        <f t="shared" si="4"/>
        <v>27.327126357959624</v>
      </c>
      <c r="L18" s="17">
        <f t="shared" si="5"/>
        <v>197.77595815163744</v>
      </c>
      <c r="M18" s="66">
        <f t="shared" si="6"/>
        <v>3.1124082900213943</v>
      </c>
      <c r="N18" s="24">
        <f t="shared" si="7"/>
        <v>7.3832681936602682E-2</v>
      </c>
      <c r="O18" s="22">
        <f t="shared" si="8"/>
        <v>0.29533072774641073</v>
      </c>
      <c r="P18" s="34" t="s">
        <v>36</v>
      </c>
      <c r="Q18" s="38"/>
      <c r="R18" s="92">
        <f t="shared" si="9"/>
        <v>252766.95187672717</v>
      </c>
      <c r="S18" s="23">
        <f t="shared" si="10"/>
        <v>2.7672339468048794</v>
      </c>
      <c r="T18" s="24">
        <f t="shared" si="11"/>
        <v>0.16315019356478944</v>
      </c>
      <c r="U18" s="24">
        <f t="shared" si="12"/>
        <v>0.32630038712957887</v>
      </c>
      <c r="V18" s="22">
        <f t="shared" si="13"/>
        <v>0.65260077425915775</v>
      </c>
      <c r="X18" s="75"/>
      <c r="Y18" s="94"/>
      <c r="Z18" s="79" t="s">
        <v>96</v>
      </c>
      <c r="AA18" s="16"/>
    </row>
    <row r="19" spans="1:27" ht="17.45" customHeight="1" x14ac:dyDescent="0.2">
      <c r="A19" s="34" t="s">
        <v>37</v>
      </c>
      <c r="B19" s="35"/>
      <c r="C19" s="36">
        <v>3000</v>
      </c>
      <c r="D19" s="85">
        <f t="shared" si="0"/>
        <v>6613.8</v>
      </c>
      <c r="E19" s="37">
        <v>7.6</v>
      </c>
      <c r="F19" s="88">
        <f t="shared" si="1"/>
        <v>24.95075508864084</v>
      </c>
      <c r="G19" s="37">
        <v>9.33</v>
      </c>
      <c r="H19" s="88">
        <f t="shared" si="2"/>
        <v>30.630334865397241</v>
      </c>
      <c r="I19" s="37">
        <v>3.3</v>
      </c>
      <c r="J19" s="88">
        <f t="shared" si="3"/>
        <v>10.833880499015102</v>
      </c>
      <c r="K19" s="82">
        <f t="shared" si="4"/>
        <v>16.051007008766103</v>
      </c>
      <c r="L19" s="17">
        <f t="shared" si="5"/>
        <v>116.16674394791312</v>
      </c>
      <c r="M19" s="66">
        <f t="shared" si="6"/>
        <v>1.8837257641983824</v>
      </c>
      <c r="N19" s="24">
        <f t="shared" si="7"/>
        <v>0.23620703261748316</v>
      </c>
      <c r="O19" s="22">
        <f t="shared" si="8"/>
        <v>0.94482813046993264</v>
      </c>
      <c r="P19" s="34" t="s">
        <v>37</v>
      </c>
      <c r="Q19" s="38"/>
      <c r="R19" s="92">
        <f t="shared" si="9"/>
        <v>129609.93467934302</v>
      </c>
      <c r="S19" s="23">
        <f t="shared" si="10"/>
        <v>2.2137871574439036</v>
      </c>
      <c r="T19" s="24">
        <f t="shared" si="11"/>
        <v>0.25492217744498352</v>
      </c>
      <c r="U19" s="24">
        <f t="shared" si="12"/>
        <v>0.50984435488996704</v>
      </c>
      <c r="V19" s="22">
        <f t="shared" si="13"/>
        <v>1.0196887097799341</v>
      </c>
      <c r="X19" s="75"/>
      <c r="Y19" s="94" t="s">
        <v>77</v>
      </c>
      <c r="Z19" s="79" t="s">
        <v>115</v>
      </c>
      <c r="AA19" s="16"/>
    </row>
    <row r="20" spans="1:27" ht="17.45" customHeight="1" x14ac:dyDescent="0.2">
      <c r="A20" s="34" t="s">
        <v>40</v>
      </c>
      <c r="B20" s="35"/>
      <c r="C20" s="36">
        <v>3980</v>
      </c>
      <c r="D20" s="85">
        <f t="shared" si="0"/>
        <v>8774.3080000000009</v>
      </c>
      <c r="E20" s="37">
        <v>8</v>
      </c>
      <c r="F20" s="88">
        <f t="shared" si="1"/>
        <v>26.263952724885094</v>
      </c>
      <c r="G20" s="37">
        <v>9.35</v>
      </c>
      <c r="H20" s="88">
        <f t="shared" si="2"/>
        <v>30.695994747209454</v>
      </c>
      <c r="I20" s="37">
        <v>3.42</v>
      </c>
      <c r="J20" s="88">
        <f t="shared" si="3"/>
        <v>11.227839789888378</v>
      </c>
      <c r="K20" s="82">
        <f t="shared" si="4"/>
        <v>19.615425997560653</v>
      </c>
      <c r="L20" s="17">
        <f t="shared" si="5"/>
        <v>141.96368913448231</v>
      </c>
      <c r="M20" s="66">
        <f t="shared" si="6"/>
        <v>2.2266888574821904</v>
      </c>
      <c r="N20" s="24">
        <f t="shared" si="7"/>
        <v>0.17754890238804644</v>
      </c>
      <c r="O20" s="22">
        <f t="shared" si="8"/>
        <v>0.71019560955218575</v>
      </c>
      <c r="P20" s="34" t="s">
        <v>40</v>
      </c>
      <c r="Q20" s="38"/>
      <c r="R20" s="92">
        <f t="shared" si="9"/>
        <v>212194.88024708864</v>
      </c>
      <c r="S20" s="23">
        <f t="shared" si="10"/>
        <v>2.2161586494548429</v>
      </c>
      <c r="T20" s="24">
        <f t="shared" si="11"/>
        <v>0.27120482000719753</v>
      </c>
      <c r="U20" s="24">
        <f t="shared" si="12"/>
        <v>0.54240964001439507</v>
      </c>
      <c r="V20" s="22">
        <f t="shared" si="13"/>
        <v>1.0848192800287901</v>
      </c>
      <c r="X20" s="75"/>
      <c r="Y20" s="71"/>
      <c r="Z20" s="79" t="s">
        <v>79</v>
      </c>
      <c r="AA20" s="16"/>
    </row>
    <row r="21" spans="1:27" ht="17.45" customHeight="1" x14ac:dyDescent="0.2">
      <c r="A21" s="34" t="s">
        <v>41</v>
      </c>
      <c r="B21" s="35"/>
      <c r="C21" s="36">
        <v>2800</v>
      </c>
      <c r="D21" s="85">
        <f t="shared" si="0"/>
        <v>6172.88</v>
      </c>
      <c r="E21" s="37">
        <v>8.6</v>
      </c>
      <c r="F21" s="88">
        <f t="shared" si="1"/>
        <v>28.233749179251475</v>
      </c>
      <c r="G21" s="37">
        <v>9.5</v>
      </c>
      <c r="H21" s="88">
        <f t="shared" si="2"/>
        <v>31.188443860801051</v>
      </c>
      <c r="I21" s="37">
        <v>2.95</v>
      </c>
      <c r="J21" s="88">
        <f t="shared" si="3"/>
        <v>9.6848325673013793</v>
      </c>
      <c r="K21" s="82">
        <f t="shared" si="4"/>
        <v>15.917623985875977</v>
      </c>
      <c r="L21" s="17">
        <f t="shared" si="5"/>
        <v>115.20140442381893</v>
      </c>
      <c r="M21" s="66">
        <f t="shared" si="6"/>
        <v>1.9728097397137281</v>
      </c>
      <c r="N21" s="24">
        <f t="shared" si="7"/>
        <v>0.18376862436114985</v>
      </c>
      <c r="O21" s="22">
        <f t="shared" si="8"/>
        <v>0.73507449744459941</v>
      </c>
      <c r="P21" s="34" t="s">
        <v>41</v>
      </c>
      <c r="Q21" s="38"/>
      <c r="R21" s="92">
        <f t="shared" si="9"/>
        <v>114916.51056145407</v>
      </c>
      <c r="S21" s="23">
        <f t="shared" si="10"/>
        <v>2.2338645925230494</v>
      </c>
      <c r="T21" s="24">
        <f t="shared" si="11"/>
        <v>0.29176597835007356</v>
      </c>
      <c r="U21" s="24">
        <f t="shared" si="12"/>
        <v>0.58353195670014713</v>
      </c>
      <c r="V21" s="22">
        <f t="shared" si="13"/>
        <v>1.1670639134002943</v>
      </c>
      <c r="X21" s="75"/>
      <c r="Y21" s="71"/>
      <c r="Z21" s="79" t="s">
        <v>81</v>
      </c>
      <c r="AA21" s="16"/>
    </row>
    <row r="22" spans="1:27" ht="17.45" customHeight="1" x14ac:dyDescent="0.2">
      <c r="A22" s="34" t="s">
        <v>43</v>
      </c>
      <c r="B22" s="35"/>
      <c r="C22" s="36">
        <v>3600</v>
      </c>
      <c r="D22" s="85">
        <f t="shared" si="0"/>
        <v>7936.56</v>
      </c>
      <c r="E22" s="37">
        <v>8.25</v>
      </c>
      <c r="F22" s="88">
        <f t="shared" si="1"/>
        <v>27.084701247537755</v>
      </c>
      <c r="G22" s="37">
        <v>9.5500000000000007</v>
      </c>
      <c r="H22" s="88">
        <f t="shared" si="2"/>
        <v>31.352593565331585</v>
      </c>
      <c r="I22" s="37">
        <v>2.99</v>
      </c>
      <c r="J22" s="88">
        <f t="shared" si="3"/>
        <v>9.8161523309258047</v>
      </c>
      <c r="K22" s="82">
        <f t="shared" si="4"/>
        <v>20.637314800359295</v>
      </c>
      <c r="L22" s="17">
        <f t="shared" si="5"/>
        <v>149.3594553211843</v>
      </c>
      <c r="M22" s="66">
        <f t="shared" si="6"/>
        <v>2.4575800536726558</v>
      </c>
      <c r="N22" s="24">
        <f t="shared" si="7"/>
        <v>0.12074667421591434</v>
      </c>
      <c r="O22" s="22">
        <f t="shared" si="8"/>
        <v>0.48298669686365736</v>
      </c>
      <c r="P22" s="34" t="s">
        <v>43</v>
      </c>
      <c r="Q22" s="38"/>
      <c r="R22" s="92">
        <f t="shared" si="9"/>
        <v>178127.25890336971</v>
      </c>
      <c r="S22" s="23">
        <f t="shared" si="10"/>
        <v>2.2397354688563231</v>
      </c>
      <c r="T22" s="24">
        <f t="shared" si="11"/>
        <v>0.27582233369196835</v>
      </c>
      <c r="U22" s="24">
        <f t="shared" si="12"/>
        <v>0.55164466738393669</v>
      </c>
      <c r="V22" s="22">
        <f t="shared" si="13"/>
        <v>1.1032893347678734</v>
      </c>
      <c r="X22" s="75"/>
      <c r="Y22" s="71"/>
      <c r="Z22" s="79" t="s">
        <v>80</v>
      </c>
      <c r="AA22" s="16"/>
    </row>
    <row r="23" spans="1:27" ht="17.45" customHeight="1" x14ac:dyDescent="0.2">
      <c r="A23" s="34" t="s">
        <v>44</v>
      </c>
      <c r="B23" s="35"/>
      <c r="C23" s="36">
        <v>8720</v>
      </c>
      <c r="D23" s="85">
        <f t="shared" si="0"/>
        <v>19224.112000000001</v>
      </c>
      <c r="E23" s="37">
        <v>8.16</v>
      </c>
      <c r="F23" s="88">
        <f t="shared" si="1"/>
        <v>26.789231779382796</v>
      </c>
      <c r="G23" s="37">
        <v>9.69</v>
      </c>
      <c r="H23" s="88">
        <f t="shared" si="2"/>
        <v>31.81221273801707</v>
      </c>
      <c r="I23" s="37">
        <v>3.24</v>
      </c>
      <c r="J23" s="88">
        <f t="shared" si="3"/>
        <v>10.636900853578464</v>
      </c>
      <c r="K23" s="82">
        <f t="shared" si="4"/>
        <v>45.034137734271582</v>
      </c>
      <c r="L23" s="17">
        <f t="shared" si="5"/>
        <v>325.92778410943714</v>
      </c>
      <c r="M23" s="66">
        <f t="shared" si="6"/>
        <v>4.7382004516185656</v>
      </c>
      <c r="N23" s="24">
        <f t="shared" si="7"/>
        <v>3.6394983745624165E-2</v>
      </c>
      <c r="O23" s="22">
        <f t="shared" si="8"/>
        <v>0.14557993498249666</v>
      </c>
      <c r="P23" s="34" t="s">
        <v>44</v>
      </c>
      <c r="Q23" s="38"/>
      <c r="R23" s="92">
        <f t="shared" si="9"/>
        <v>833296.52978379803</v>
      </c>
      <c r="S23" s="23">
        <f t="shared" si="10"/>
        <v>2.8201158104773407</v>
      </c>
      <c r="T23" s="24">
        <f t="shared" si="11"/>
        <v>0.17163766539819447</v>
      </c>
      <c r="U23" s="24">
        <f t="shared" si="12"/>
        <v>0.34327533079638894</v>
      </c>
      <c r="V23" s="22">
        <f t="shared" si="13"/>
        <v>0.68655066159277789</v>
      </c>
      <c r="X23" s="75"/>
      <c r="Y23" s="71"/>
      <c r="Z23" s="79" t="s">
        <v>82</v>
      </c>
      <c r="AA23" s="16"/>
    </row>
    <row r="24" spans="1:27" ht="17.45" customHeight="1" x14ac:dyDescent="0.2">
      <c r="A24" s="34" t="s">
        <v>45</v>
      </c>
      <c r="B24" s="35"/>
      <c r="C24" s="36">
        <v>9750</v>
      </c>
      <c r="D24" s="85">
        <f t="shared" ref="D24:D32" si="14">C24*2.2046</f>
        <v>21494.850000000002</v>
      </c>
      <c r="E24" s="37">
        <v>8.84</v>
      </c>
      <c r="F24" s="88">
        <f t="shared" ref="F24:F32" si="15">E24*100/30.46</f>
        <v>29.021667760998028</v>
      </c>
      <c r="G24" s="37">
        <v>9.6999999999999993</v>
      </c>
      <c r="H24" s="88">
        <f t="shared" ref="H24:H32" si="16">G24*100/30.46</f>
        <v>31.845042678923175</v>
      </c>
      <c r="I24" s="37">
        <v>3.42</v>
      </c>
      <c r="J24" s="88">
        <f t="shared" ref="J24:J32" si="17">I24*100/30.46</f>
        <v>11.227839789888378</v>
      </c>
      <c r="K24" s="82">
        <f t="shared" si="4"/>
        <v>44.392650248870176</v>
      </c>
      <c r="L24" s="17">
        <f t="shared" si="5"/>
        <v>321.28511512164602</v>
      </c>
      <c r="M24" s="66">
        <f t="shared" si="6"/>
        <v>4.6269241800926384</v>
      </c>
      <c r="N24" s="24">
        <f t="shared" si="7"/>
        <v>4.1119923475779988E-2</v>
      </c>
      <c r="O24" s="22">
        <f t="shared" si="8"/>
        <v>0.16447969390311995</v>
      </c>
      <c r="P24" s="34" t="s">
        <v>45</v>
      </c>
      <c r="Q24" s="38"/>
      <c r="R24" s="92">
        <f t="shared" si="9"/>
        <v>1012425.0292727074</v>
      </c>
      <c r="S24" s="23">
        <f t="shared" si="10"/>
        <v>2.821570603357427</v>
      </c>
      <c r="T24" s="24">
        <f t="shared" si="11"/>
        <v>0.1891088814996493</v>
      </c>
      <c r="U24" s="24">
        <f t="shared" si="12"/>
        <v>0.3782177629992986</v>
      </c>
      <c r="V24" s="22">
        <f t="shared" si="13"/>
        <v>0.7564355259985972</v>
      </c>
      <c r="X24" s="75"/>
      <c r="Y24" s="94" t="s">
        <v>83</v>
      </c>
      <c r="Z24" s="79" t="s">
        <v>116</v>
      </c>
      <c r="AA24" s="16"/>
    </row>
    <row r="25" spans="1:27" ht="17.45" customHeight="1" x14ac:dyDescent="0.2">
      <c r="A25" s="34" t="s">
        <v>17</v>
      </c>
      <c r="B25" s="35"/>
      <c r="C25" s="36">
        <v>3800</v>
      </c>
      <c r="D25" s="85">
        <f t="shared" si="14"/>
        <v>8377.48</v>
      </c>
      <c r="E25" s="37">
        <v>7.5</v>
      </c>
      <c r="F25" s="88">
        <f t="shared" si="15"/>
        <v>24.622455679579776</v>
      </c>
      <c r="G25" s="37">
        <v>9.75</v>
      </c>
      <c r="H25" s="88">
        <f t="shared" si="16"/>
        <v>32.009192383453708</v>
      </c>
      <c r="I25" s="37">
        <v>3.2</v>
      </c>
      <c r="J25" s="88">
        <f t="shared" si="17"/>
        <v>10.505581089954038</v>
      </c>
      <c r="K25" s="82">
        <f t="shared" si="4"/>
        <v>21.035530798261089</v>
      </c>
      <c r="L25" s="17">
        <f t="shared" si="5"/>
        <v>152.24148358514034</v>
      </c>
      <c r="M25" s="66">
        <f t="shared" si="6"/>
        <v>2.440401856428998</v>
      </c>
      <c r="N25" s="24">
        <f t="shared" si="7"/>
        <v>0.13483817473778556</v>
      </c>
      <c r="O25" s="22">
        <f t="shared" si="8"/>
        <v>0.53935269895114224</v>
      </c>
      <c r="P25" s="34" t="s">
        <v>17</v>
      </c>
      <c r="Q25" s="38"/>
      <c r="R25" s="92">
        <f t="shared" si="9"/>
        <v>195740.82571193945</v>
      </c>
      <c r="S25" s="23">
        <f t="shared" si="10"/>
        <v>2.263066676294049</v>
      </c>
      <c r="T25" s="24">
        <f t="shared" si="11"/>
        <v>0.2399065259164406</v>
      </c>
      <c r="U25" s="24">
        <f t="shared" si="12"/>
        <v>0.4798130518328812</v>
      </c>
      <c r="V25" s="22">
        <f t="shared" si="13"/>
        <v>0.9596261036657624</v>
      </c>
      <c r="X25" s="75"/>
      <c r="Y25" s="94" t="s">
        <v>84</v>
      </c>
      <c r="Z25" s="79" t="s">
        <v>85</v>
      </c>
      <c r="AA25" s="16"/>
    </row>
    <row r="26" spans="1:27" ht="17.45" customHeight="1" x14ac:dyDescent="0.2">
      <c r="A26" s="34" t="s">
        <v>46</v>
      </c>
      <c r="B26" s="35"/>
      <c r="C26" s="36">
        <v>4800</v>
      </c>
      <c r="D26" s="85">
        <f t="shared" si="14"/>
        <v>10582.08</v>
      </c>
      <c r="E26" s="37">
        <v>8.68</v>
      </c>
      <c r="F26" s="88">
        <f t="shared" si="15"/>
        <v>28.496388706500326</v>
      </c>
      <c r="G26" s="37">
        <v>9.8000000000000007</v>
      </c>
      <c r="H26" s="88">
        <f t="shared" si="16"/>
        <v>32.173342087984246</v>
      </c>
      <c r="I26" s="37">
        <v>3.4</v>
      </c>
      <c r="J26" s="88">
        <f t="shared" si="17"/>
        <v>11.162179908076165</v>
      </c>
      <c r="K26" s="82">
        <f t="shared" si="4"/>
        <v>22.226316060925058</v>
      </c>
      <c r="L26" s="17">
        <f t="shared" si="5"/>
        <v>160.85961244330392</v>
      </c>
      <c r="M26" s="66">
        <f t="shared" si="6"/>
        <v>2.5392751961004394</v>
      </c>
      <c r="N26" s="24">
        <f t="shared" si="7"/>
        <v>0.13543716646636761</v>
      </c>
      <c r="O26" s="22">
        <f t="shared" si="8"/>
        <v>0.54174866586547044</v>
      </c>
      <c r="P26" s="34" t="s">
        <v>46</v>
      </c>
      <c r="Q26" s="38"/>
      <c r="R26" s="92">
        <f t="shared" si="9"/>
        <v>294187.043333048</v>
      </c>
      <c r="S26" s="23">
        <f t="shared" si="10"/>
        <v>2.2688619909720114</v>
      </c>
      <c r="T26" s="24">
        <f t="shared" si="11"/>
        <v>0.28604541067620598</v>
      </c>
      <c r="U26" s="24">
        <f t="shared" si="12"/>
        <v>0.57209082135241196</v>
      </c>
      <c r="V26" s="22">
        <f t="shared" si="13"/>
        <v>1.1441816427048239</v>
      </c>
      <c r="X26" s="75"/>
      <c r="Y26" s="94" t="s">
        <v>86</v>
      </c>
      <c r="Z26" s="79" t="s">
        <v>88</v>
      </c>
      <c r="AA26" s="16"/>
    </row>
    <row r="27" spans="1:27" ht="17.45" customHeight="1" x14ac:dyDescent="0.2">
      <c r="A27" s="34" t="s">
        <v>47</v>
      </c>
      <c r="B27" s="35"/>
      <c r="C27" s="36">
        <v>6500</v>
      </c>
      <c r="D27" s="85">
        <f t="shared" si="14"/>
        <v>14329.900000000001</v>
      </c>
      <c r="E27" s="37">
        <v>8.82</v>
      </c>
      <c r="F27" s="88">
        <f t="shared" si="15"/>
        <v>28.956007879185815</v>
      </c>
      <c r="G27" s="37">
        <v>9.81</v>
      </c>
      <c r="H27" s="88">
        <f t="shared" si="16"/>
        <v>32.20617202889035</v>
      </c>
      <c r="I27" s="37">
        <v>3.33</v>
      </c>
      <c r="J27" s="88">
        <f t="shared" si="17"/>
        <v>10.932370321733421</v>
      </c>
      <c r="K27" s="82">
        <f t="shared" si="4"/>
        <v>30.599736195422825</v>
      </c>
      <c r="L27" s="17">
        <f t="shared" si="5"/>
        <v>221.46097858819843</v>
      </c>
      <c r="M27" s="66">
        <f t="shared" si="6"/>
        <v>3.3853646406249154</v>
      </c>
      <c r="N27" s="24">
        <f t="shared" si="7"/>
        <v>7.4053111383588957E-2</v>
      </c>
      <c r="O27" s="22">
        <f t="shared" si="8"/>
        <v>0.29621244553435583</v>
      </c>
      <c r="P27" s="34" t="s">
        <v>47</v>
      </c>
      <c r="Q27" s="38"/>
      <c r="R27" s="92">
        <f t="shared" si="9"/>
        <v>499182.92040410405</v>
      </c>
      <c r="S27" s="23">
        <f t="shared" si="10"/>
        <v>2.8375240980866732</v>
      </c>
      <c r="T27" s="24">
        <f t="shared" si="11"/>
        <v>0.18647515124346778</v>
      </c>
      <c r="U27" s="24">
        <f t="shared" si="12"/>
        <v>0.37295030248693556</v>
      </c>
      <c r="V27" s="22">
        <f t="shared" si="13"/>
        <v>0.74590060497387112</v>
      </c>
      <c r="X27" s="75"/>
      <c r="Y27" s="94" t="s">
        <v>87</v>
      </c>
      <c r="Z27" s="79" t="s">
        <v>89</v>
      </c>
      <c r="AA27" s="16"/>
    </row>
    <row r="28" spans="1:27" ht="17.45" customHeight="1" x14ac:dyDescent="0.2">
      <c r="A28" s="34" t="s">
        <v>18</v>
      </c>
      <c r="B28" s="35"/>
      <c r="C28" s="36">
        <v>4540</v>
      </c>
      <c r="D28" s="85">
        <f t="shared" si="14"/>
        <v>10008.884</v>
      </c>
      <c r="E28" s="37">
        <v>8.84</v>
      </c>
      <c r="F28" s="88">
        <f t="shared" si="15"/>
        <v>29.021667760998028</v>
      </c>
      <c r="G28" s="37">
        <v>9.8800000000000008</v>
      </c>
      <c r="H28" s="88">
        <f t="shared" si="16"/>
        <v>32.435981615233096</v>
      </c>
      <c r="I28" s="37">
        <v>3.35</v>
      </c>
      <c r="J28" s="88">
        <f t="shared" si="17"/>
        <v>10.998030203545634</v>
      </c>
      <c r="K28" s="82">
        <f t="shared" si="4"/>
        <v>21.12211287618339</v>
      </c>
      <c r="L28" s="17">
        <f t="shared" si="5"/>
        <v>152.86810832407321</v>
      </c>
      <c r="M28" s="66">
        <f t="shared" si="6"/>
        <v>2.4507838525947103</v>
      </c>
      <c r="N28" s="24">
        <f t="shared" si="7"/>
        <v>0.14247027294096221</v>
      </c>
      <c r="O28" s="22">
        <f t="shared" si="8"/>
        <v>0.56988109176384882</v>
      </c>
      <c r="P28" s="34" t="s">
        <v>18</v>
      </c>
      <c r="Q28" s="38"/>
      <c r="R28" s="92">
        <f t="shared" si="9"/>
        <v>266958.79350295669</v>
      </c>
      <c r="S28" s="23">
        <f t="shared" si="10"/>
        <v>2.2781038295998046</v>
      </c>
      <c r="T28" s="24">
        <f t="shared" si="11"/>
        <v>0.29009934061022863</v>
      </c>
      <c r="U28" s="24">
        <f t="shared" si="12"/>
        <v>0.58019868122045726</v>
      </c>
      <c r="V28" s="22">
        <f t="shared" si="13"/>
        <v>1.1603973624409145</v>
      </c>
      <c r="X28" s="75"/>
      <c r="Y28" s="94"/>
      <c r="Z28" s="79"/>
      <c r="AA28" s="16"/>
    </row>
    <row r="29" spans="1:27" ht="17.45" customHeight="1" x14ac:dyDescent="0.2">
      <c r="A29" s="34" t="s">
        <v>48</v>
      </c>
      <c r="B29" s="35"/>
      <c r="C29" s="36">
        <v>4900</v>
      </c>
      <c r="D29" s="85">
        <f t="shared" si="14"/>
        <v>10802.54</v>
      </c>
      <c r="E29" s="37">
        <v>8.15</v>
      </c>
      <c r="F29" s="88">
        <f t="shared" si="15"/>
        <v>26.756401838476691</v>
      </c>
      <c r="G29" s="37">
        <v>9.9</v>
      </c>
      <c r="H29" s="88">
        <f t="shared" si="16"/>
        <v>32.501641497045306</v>
      </c>
      <c r="I29" s="37">
        <v>3.4</v>
      </c>
      <c r="J29" s="88">
        <f t="shared" si="17"/>
        <v>11.162179908076165</v>
      </c>
      <c r="K29" s="82">
        <f t="shared" si="4"/>
        <v>23.581245952592976</v>
      </c>
      <c r="L29" s="17">
        <f t="shared" si="5"/>
        <v>170.66571331328669</v>
      </c>
      <c r="M29" s="66">
        <f t="shared" si="6"/>
        <v>2.668083711253681</v>
      </c>
      <c r="N29" s="24">
        <f t="shared" si="7"/>
        <v>0.1226756865375669</v>
      </c>
      <c r="O29" s="22">
        <f t="shared" si="8"/>
        <v>0.4907027461502676</v>
      </c>
      <c r="P29" s="34" t="s">
        <v>48</v>
      </c>
      <c r="Q29" s="38"/>
      <c r="R29" s="92">
        <f t="shared" si="9"/>
        <v>304958.53109566891</v>
      </c>
      <c r="S29" s="23">
        <f t="shared" si="10"/>
        <v>2.2804084369970328</v>
      </c>
      <c r="T29" s="24">
        <f t="shared" si="11"/>
        <v>0.26209777766483811</v>
      </c>
      <c r="U29" s="24">
        <f t="shared" si="12"/>
        <v>0.52419555532967621</v>
      </c>
      <c r="V29" s="22">
        <f t="shared" si="13"/>
        <v>1.0483911106593524</v>
      </c>
      <c r="X29" s="75" t="s">
        <v>90</v>
      </c>
      <c r="Y29" s="94"/>
      <c r="Z29" s="79"/>
      <c r="AA29" s="16"/>
    </row>
    <row r="30" spans="1:27" ht="17.45" customHeight="1" x14ac:dyDescent="0.2">
      <c r="A30" s="34" t="s">
        <v>49</v>
      </c>
      <c r="B30" s="35"/>
      <c r="C30" s="36">
        <v>8400</v>
      </c>
      <c r="D30" s="85">
        <f t="shared" si="14"/>
        <v>18518.64</v>
      </c>
      <c r="E30" s="37">
        <v>8.94</v>
      </c>
      <c r="F30" s="88">
        <f t="shared" si="15"/>
        <v>29.349967170059092</v>
      </c>
      <c r="G30" s="37">
        <v>9.9700000000000006</v>
      </c>
      <c r="H30" s="88">
        <f t="shared" si="16"/>
        <v>32.731451083388052</v>
      </c>
      <c r="I30" s="37">
        <v>3.55</v>
      </c>
      <c r="J30" s="88">
        <f t="shared" si="17"/>
        <v>11.654629021667761</v>
      </c>
      <c r="K30" s="82">
        <f t="shared" si="4"/>
        <v>35.80040239783834</v>
      </c>
      <c r="L30" s="17">
        <f t="shared" si="5"/>
        <v>259.10001636100748</v>
      </c>
      <c r="M30" s="66">
        <f t="shared" si="6"/>
        <v>3.8203741523673966</v>
      </c>
      <c r="N30" s="24">
        <f t="shared" si="7"/>
        <v>6.3443611564263119E-2</v>
      </c>
      <c r="O30" s="22">
        <f t="shared" si="8"/>
        <v>0.25377444625705248</v>
      </c>
      <c r="P30" s="34" t="s">
        <v>49</v>
      </c>
      <c r="Q30" s="38"/>
      <c r="R30" s="92">
        <f t="shared" si="9"/>
        <v>780695.8996918645</v>
      </c>
      <c r="S30" s="23">
        <f t="shared" si="10"/>
        <v>2.8605703576117496</v>
      </c>
      <c r="T30" s="24">
        <f t="shared" si="11"/>
        <v>0.18651261131268754</v>
      </c>
      <c r="U30" s="24">
        <f t="shared" si="12"/>
        <v>0.37302522262537507</v>
      </c>
      <c r="V30" s="22">
        <f t="shared" si="13"/>
        <v>0.74605044525075015</v>
      </c>
      <c r="X30" s="75" t="s">
        <v>91</v>
      </c>
      <c r="Y30" s="94"/>
      <c r="Z30" s="79"/>
      <c r="AA30" s="16"/>
    </row>
    <row r="31" spans="1:27" ht="17.45" customHeight="1" x14ac:dyDescent="0.2">
      <c r="A31" s="34" t="s">
        <v>19</v>
      </c>
      <c r="B31" s="35"/>
      <c r="C31" s="36">
        <v>3800</v>
      </c>
      <c r="D31" s="85">
        <f t="shared" si="14"/>
        <v>8377.48</v>
      </c>
      <c r="E31" s="37">
        <v>9</v>
      </c>
      <c r="F31" s="88">
        <f t="shared" si="15"/>
        <v>29.54694681549573</v>
      </c>
      <c r="G31" s="37">
        <v>9.99</v>
      </c>
      <c r="H31" s="88">
        <f t="shared" si="16"/>
        <v>32.797110965200261</v>
      </c>
      <c r="I31" s="37">
        <v>3</v>
      </c>
      <c r="J31" s="88">
        <f t="shared" si="17"/>
        <v>9.8489822718319111</v>
      </c>
      <c r="K31" s="82">
        <f t="shared" si="4"/>
        <v>20.154712523796956</v>
      </c>
      <c r="L31" s="17">
        <f t="shared" si="5"/>
        <v>145.8666940844918</v>
      </c>
      <c r="M31" s="66">
        <f>(2*PI()*POWER((POWER(D31,1.744)/35.5)/(82.43*F31*POWER((0.82*J31),3)),0.5))</f>
        <v>2.4542217976905722</v>
      </c>
      <c r="N31" s="24">
        <f t="shared" si="7"/>
        <v>0.12166051789665169</v>
      </c>
      <c r="O31" s="22">
        <f t="shared" si="8"/>
        <v>0.48664207158660677</v>
      </c>
      <c r="P31" s="34" t="s">
        <v>19</v>
      </c>
      <c r="Q31" s="38"/>
      <c r="R31" s="92">
        <f t="shared" si="9"/>
        <v>195740.82571193945</v>
      </c>
      <c r="S31" s="23">
        <f t="shared" si="10"/>
        <v>2.2907504784310411</v>
      </c>
      <c r="T31" s="24">
        <f t="shared" si="11"/>
        <v>0.29320499958271268</v>
      </c>
      <c r="U31" s="24">
        <f t="shared" si="12"/>
        <v>0.58640999916542536</v>
      </c>
      <c r="V31" s="22">
        <f t="shared" si="13"/>
        <v>1.1728199983308507</v>
      </c>
      <c r="X31" s="75" t="s">
        <v>92</v>
      </c>
      <c r="Y31" s="94"/>
      <c r="Z31" s="79"/>
      <c r="AA31" s="16"/>
    </row>
    <row r="32" spans="1:27" ht="17.45" customHeight="1" x14ac:dyDescent="0.2">
      <c r="A32" s="119" t="s">
        <v>119</v>
      </c>
      <c r="B32" s="40"/>
      <c r="C32" s="120">
        <v>3200</v>
      </c>
      <c r="D32" s="86">
        <f t="shared" si="14"/>
        <v>7054.72</v>
      </c>
      <c r="E32" s="121">
        <v>7.32</v>
      </c>
      <c r="F32" s="90">
        <f t="shared" si="15"/>
        <v>24.031516743269862</v>
      </c>
      <c r="G32" s="121">
        <v>8.9499999999999993</v>
      </c>
      <c r="H32" s="90">
        <f t="shared" si="16"/>
        <v>29.382797110965196</v>
      </c>
      <c r="I32" s="116">
        <v>2.75</v>
      </c>
      <c r="J32" s="90">
        <f t="shared" si="17"/>
        <v>9.0282337491792504</v>
      </c>
      <c r="K32" s="83">
        <f>D32/(0.65*(0.7*F32+0.3*H32)*POWER(J32,1.33))</f>
        <v>22.685543252012415</v>
      </c>
      <c r="L32" s="18">
        <f>C32/(0.65*(0.7*E32+0.3*G32)*POWER(I32,1.33))</f>
        <v>164.18320002206647</v>
      </c>
      <c r="M32" s="67">
        <f>(2*PI()*POWER((POWER(D32,1.744)/35.5)/(82.43*F32*POWER((0.82*J32),3)),0.5))</f>
        <v>2.6692045066546166</v>
      </c>
      <c r="N32" s="27">
        <f t="shared" si="7"/>
        <v>9.052689446961136E-2</v>
      </c>
      <c r="O32" s="25">
        <f t="shared" si="8"/>
        <v>0.36210757787844544</v>
      </c>
      <c r="P32" s="39" t="str">
        <f xml:space="preserve"> A32</f>
        <v>Contest 29</v>
      </c>
      <c r="Q32" s="41"/>
      <c r="R32" s="124">
        <f>POWER(D32,1.744)/35.5</f>
        <v>145050.88593229838</v>
      </c>
      <c r="S32" s="26">
        <f t="shared" si="10"/>
        <v>2.1682360429054839</v>
      </c>
      <c r="T32" s="27">
        <f t="shared" si="11"/>
        <v>0.25343967703997489</v>
      </c>
      <c r="U32" s="27">
        <f t="shared" si="12"/>
        <v>0.50687935407994977</v>
      </c>
      <c r="V32" s="25">
        <f t="shared" si="13"/>
        <v>1.0137587081598995</v>
      </c>
      <c r="X32" s="78" t="s">
        <v>93</v>
      </c>
      <c r="Y32" s="96"/>
      <c r="Z32" s="80"/>
      <c r="AA32" s="16"/>
    </row>
    <row r="33" spans="13:28" ht="17.45" customHeight="1" x14ac:dyDescent="0.2">
      <c r="M33" s="122">
        <f>(2*PI()*POWER((POWER(D32,1.744)/35.5)/(82.43*F32*(POWER((0.82*J32),3))),0.5))</f>
        <v>2.6692045066546166</v>
      </c>
      <c r="N33" s="123"/>
    </row>
    <row r="34" spans="13:28" ht="17.45" customHeight="1" x14ac:dyDescent="0.2">
      <c r="M34" s="122">
        <f>(2*PI()*POWER((POWER((C32*2.2046),1.744)/35.5)/(2.71*(E32*100)*(POWER((0.82*((I32*100)/30.46)),3))),0.5))</f>
        <v>2.6673186674513425</v>
      </c>
      <c r="N34" s="123">
        <f>POWER((2*PI()/M34),2)*(((I32*100)/2)-46)*(10*PI()/180)/980</f>
        <v>9.0423708350624729E-2</v>
      </c>
    </row>
    <row r="36" spans="13:28" ht="17.45" customHeight="1" x14ac:dyDescent="0.2">
      <c r="AB36" s="42"/>
    </row>
  </sheetData>
  <sheetProtection password="E285" sheet="1" objects="1" scenarios="1"/>
  <mergeCells count="13">
    <mergeCell ref="M2:O2"/>
    <mergeCell ref="S2:V2"/>
    <mergeCell ref="A2:B3"/>
    <mergeCell ref="X1:Z3"/>
    <mergeCell ref="C2:D2"/>
    <mergeCell ref="E2:F2"/>
    <mergeCell ref="G2:H2"/>
    <mergeCell ref="I2:J2"/>
    <mergeCell ref="S1:V1"/>
    <mergeCell ref="P2:Q3"/>
    <mergeCell ref="K1:L1"/>
    <mergeCell ref="K2:L2"/>
    <mergeCell ref="M1:O1"/>
  </mergeCells>
  <phoneticPr fontId="0" type="noConversion"/>
  <printOptions horizontalCentered="1" verticalCentered="1" headings="1"/>
  <pageMargins left="0.39370078740157483" right="0.39370078740157483" top="0.19685039370078741" bottom="0.19685039370078741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"/>
  <sheetViews>
    <sheetView workbookViewId="0">
      <selection activeCell="O16" sqref="O16"/>
    </sheetView>
  </sheetViews>
  <sheetFormatPr defaultRowHeight="20.100000000000001" customHeight="1" x14ac:dyDescent="0.2"/>
  <cols>
    <col min="1" max="1" width="15.7109375" style="4" customWidth="1"/>
    <col min="2" max="2" width="1.7109375" style="4" customWidth="1"/>
    <col min="3" max="3" width="0.42578125" style="4" customWidth="1"/>
    <col min="4" max="5" width="8.7109375" style="2" customWidth="1"/>
    <col min="6" max="6" width="0.42578125" style="3" customWidth="1"/>
    <col min="7" max="7" width="9.140625" style="2"/>
    <col min="8" max="8" width="9" style="2" customWidth="1"/>
    <col min="9" max="9" width="0.42578125" style="1" customWidth="1"/>
    <col min="10" max="10" width="8.7109375" style="2" customWidth="1"/>
    <col min="11" max="11" width="0.42578125" style="3" customWidth="1"/>
    <col min="12" max="12" width="8.7109375" style="2" customWidth="1"/>
    <col min="13" max="13" width="0.42578125" style="2" customWidth="1"/>
    <col min="14" max="17" width="8.28515625" style="2" customWidth="1"/>
    <col min="18" max="18" width="0.42578125" style="8" customWidth="1"/>
    <col min="19" max="46" width="8.28515625" style="2" customWidth="1"/>
    <col min="47" max="16384" width="9.140625" style="4"/>
  </cols>
  <sheetData>
    <row r="1" spans="1:51" ht="30" customHeight="1" x14ac:dyDescent="0.2">
      <c r="A1" s="157" t="s">
        <v>117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9"/>
    </row>
    <row r="2" spans="1:51" ht="5.0999999999999996" customHeight="1" x14ac:dyDescent="0.2">
      <c r="A2" s="5"/>
      <c r="N2" s="4"/>
      <c r="O2" s="4"/>
      <c r="P2" s="4"/>
      <c r="Q2" s="4"/>
      <c r="R2" s="111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51" s="13" customFormat="1" ht="20.100000000000001" customHeight="1" x14ac:dyDescent="0.2">
      <c r="A3" s="140" t="s">
        <v>21</v>
      </c>
      <c r="B3" s="141"/>
      <c r="D3" s="135" t="s">
        <v>1</v>
      </c>
      <c r="E3" s="136"/>
      <c r="F3" s="28"/>
      <c r="G3" s="135" t="s">
        <v>34</v>
      </c>
      <c r="H3" s="136"/>
      <c r="I3" s="15"/>
      <c r="K3" s="101"/>
      <c r="M3" s="12"/>
      <c r="N3" s="135" t="s">
        <v>28</v>
      </c>
      <c r="O3" s="147"/>
      <c r="P3" s="147"/>
      <c r="Q3" s="136"/>
      <c r="R3" s="28"/>
      <c r="S3" s="135" t="s">
        <v>23</v>
      </c>
      <c r="T3" s="147"/>
      <c r="U3" s="147"/>
      <c r="V3" s="136"/>
      <c r="AU3" s="14"/>
      <c r="AV3" s="14"/>
      <c r="AW3" s="14"/>
      <c r="AX3" s="14"/>
      <c r="AY3" s="14"/>
    </row>
    <row r="4" spans="1:51" ht="20.100000000000001" customHeight="1" x14ac:dyDescent="0.2">
      <c r="A4" s="142"/>
      <c r="B4" s="143"/>
      <c r="D4" s="6" t="s">
        <v>4</v>
      </c>
      <c r="E4" s="7" t="s">
        <v>5</v>
      </c>
      <c r="F4" s="8"/>
      <c r="G4" s="6" t="s">
        <v>2</v>
      </c>
      <c r="H4" s="7" t="s">
        <v>3</v>
      </c>
      <c r="J4" s="103" t="s">
        <v>98</v>
      </c>
      <c r="L4" s="103" t="s">
        <v>54</v>
      </c>
      <c r="N4" s="6" t="s">
        <v>97</v>
      </c>
      <c r="O4" s="9" t="s">
        <v>8</v>
      </c>
      <c r="P4" s="9" t="s">
        <v>24</v>
      </c>
      <c r="Q4" s="7" t="s">
        <v>25</v>
      </c>
      <c r="S4" s="6" t="s">
        <v>97</v>
      </c>
      <c r="T4" s="9" t="s">
        <v>8</v>
      </c>
      <c r="U4" s="9" t="s">
        <v>24</v>
      </c>
      <c r="V4" s="7" t="s">
        <v>25</v>
      </c>
      <c r="AU4" s="125"/>
      <c r="AV4" s="125"/>
      <c r="AW4" s="125"/>
      <c r="AX4" s="125"/>
      <c r="AY4" s="125"/>
    </row>
    <row r="5" spans="1:51" ht="20.100000000000001" customHeight="1" x14ac:dyDescent="0.2">
      <c r="A5" s="100" t="s">
        <v>26</v>
      </c>
      <c r="B5" s="97"/>
      <c r="C5" s="10"/>
      <c r="D5" s="33">
        <v>9.99</v>
      </c>
      <c r="E5" s="104">
        <f>D5*100/30.466</f>
        <v>32.790651874220444</v>
      </c>
      <c r="F5" s="8"/>
      <c r="G5" s="31">
        <v>4200</v>
      </c>
      <c r="H5" s="105">
        <f>G5*2.2046</f>
        <v>9259.32</v>
      </c>
      <c r="J5" s="106">
        <f>G5/D5</f>
        <v>420.42042042042038</v>
      </c>
      <c r="L5" s="107">
        <f>IF(J5&lt;450,0.4*SQRT(E5),0.5*SQRT(E5))</f>
        <v>2.29052489614832</v>
      </c>
      <c r="N5" s="98">
        <v>4.5</v>
      </c>
      <c r="O5" s="99">
        <f>POWER((2*PI()/L5),2)*(N5*100/30.47)*(10*PI()/180)/32.2</f>
        <v>0.60235325153735642</v>
      </c>
      <c r="P5" s="99">
        <f>POWER((2*PI()/L5),2)*(N5*100/30.47)*(15*PI()/180)/32.2</f>
        <v>0.90352987730603473</v>
      </c>
      <c r="Q5" s="32">
        <f>POWER((2*PI()/L5),2)*(N5*100/30.47)*(20*PI()/180)/32.2</f>
        <v>1.2047065030747128</v>
      </c>
      <c r="R5" s="112"/>
      <c r="S5" s="98">
        <v>2.5</v>
      </c>
      <c r="T5" s="99">
        <f>POWER((2*PI()/L5),2)*(S5*100/30.47)*(10*PI()/180)/32.2</f>
        <v>0.33464069529853141</v>
      </c>
      <c r="U5" s="99">
        <f>POWER((2*PI()/L5),2)*(S5*100/30.47)*(15*PI()/180)/32.2</f>
        <v>0.50196104294779709</v>
      </c>
      <c r="V5" s="32">
        <f>POWER((2*PI()/L5),2)*(S5*100/30.47)*(20*PI()/180)/32.2</f>
        <v>0.66928139059706282</v>
      </c>
      <c r="AM5" s="4"/>
      <c r="AN5" s="4"/>
      <c r="AO5" s="4"/>
      <c r="AP5" s="4"/>
      <c r="AQ5" s="4"/>
      <c r="AR5" s="4"/>
      <c r="AS5" s="4"/>
      <c r="AT5" s="4"/>
    </row>
    <row r="6" spans="1:51" ht="20.100000000000001" customHeight="1" x14ac:dyDescent="0.2">
      <c r="A6" s="113" t="str">
        <f xml:space="preserve">  Blad1!A32</f>
        <v>Contest 29</v>
      </c>
      <c r="B6" s="102"/>
      <c r="C6" s="10"/>
      <c r="D6" s="114">
        <f xml:space="preserve">  Blad1!G32</f>
        <v>8.9499999999999993</v>
      </c>
      <c r="E6" s="11">
        <f>D6*100/30.466</f>
        <v>29.377010437865156</v>
      </c>
      <c r="F6" s="8"/>
      <c r="G6" s="115">
        <f xml:space="preserve"> Blad1!C32</f>
        <v>3200</v>
      </c>
      <c r="H6" s="108">
        <f>G6*2.2046</f>
        <v>7054.72</v>
      </c>
      <c r="J6" s="109">
        <f>G6/D6</f>
        <v>357.54189944134083</v>
      </c>
      <c r="L6" s="110">
        <f>IF(J6&lt;450,0.4*SQRT(E6),0.5*SQRT(E6))</f>
        <v>2.1680225252654606</v>
      </c>
      <c r="N6" s="116">
        <v>1</v>
      </c>
      <c r="O6" s="117">
        <f>POWER((2*PI()/L6),2)*(N6*100/30.47)*(10*PI()/180)/32.2</f>
        <v>0.14941052719697562</v>
      </c>
      <c r="P6" s="117">
        <f>POWER((2*PI()/L6),2)*(N6*100/30.47)*(15*PI()/180)/32.2</f>
        <v>0.22411579079546343</v>
      </c>
      <c r="Q6" s="118">
        <f>POWER((2*PI()/L6),2)*(N6*100/30.47)*(20*PI()/180)/32.2</f>
        <v>0.29882105439395124</v>
      </c>
      <c r="R6" s="112"/>
      <c r="S6" s="116">
        <v>1</v>
      </c>
      <c r="T6" s="117">
        <f>POWER((2*PI()/L6),2)*(S6*100/30.47)*(10*PI()/180)/32.2</f>
        <v>0.14941052719697562</v>
      </c>
      <c r="U6" s="117">
        <f>POWER((2*PI()/L6),2)*(S6*100/30.47)*(15*PI()/180)/32.2</f>
        <v>0.22411579079546343</v>
      </c>
      <c r="V6" s="118">
        <f>POWER((2*PI()/L6),2)*(S6*100/30.47)*(20*PI()/180)/32.2</f>
        <v>0.29882105439395124</v>
      </c>
      <c r="AM6" s="4"/>
      <c r="AN6" s="4"/>
      <c r="AO6" s="4"/>
      <c r="AP6" s="4"/>
      <c r="AQ6" s="4"/>
      <c r="AR6" s="4"/>
      <c r="AS6" s="4"/>
      <c r="AT6" s="4"/>
    </row>
    <row r="8" spans="1:51" ht="20.100000000000001" customHeight="1" x14ac:dyDescent="0.2">
      <c r="A8" s="154" t="s">
        <v>99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6"/>
      <c r="N8" s="135" t="s">
        <v>20</v>
      </c>
      <c r="O8" s="147"/>
      <c r="P8" s="147"/>
      <c r="Q8" s="136"/>
      <c r="R8" s="28"/>
      <c r="S8" s="135" t="s">
        <v>29</v>
      </c>
      <c r="T8" s="147"/>
      <c r="U8" s="147"/>
      <c r="V8" s="136"/>
    </row>
    <row r="9" spans="1:51" ht="20.100000000000001" customHeight="1" x14ac:dyDescent="0.2">
      <c r="A9" s="148" t="s">
        <v>100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50"/>
      <c r="N9" s="6" t="s">
        <v>97</v>
      </c>
      <c r="O9" s="9" t="s">
        <v>8</v>
      </c>
      <c r="P9" s="9" t="s">
        <v>24</v>
      </c>
      <c r="Q9" s="7" t="s">
        <v>25</v>
      </c>
      <c r="S9" s="6" t="s">
        <v>97</v>
      </c>
      <c r="T9" s="9" t="s">
        <v>8</v>
      </c>
      <c r="U9" s="9" t="s">
        <v>24</v>
      </c>
      <c r="V9" s="7" t="s">
        <v>25</v>
      </c>
    </row>
    <row r="10" spans="1:51" ht="20.100000000000001" customHeight="1" x14ac:dyDescent="0.2">
      <c r="A10" s="148" t="s">
        <v>101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50"/>
      <c r="N10" s="98">
        <v>3</v>
      </c>
      <c r="O10" s="99">
        <f>POWER((2*PI()/L5),2)*(N10*100/30.47)*(10*PI()/180)/32.2</f>
        <v>0.40156883435823759</v>
      </c>
      <c r="P10" s="99">
        <f>POWER((2*PI()/L5),2)*(N10*100/30.47)*(15*PI()/180)/32.2</f>
        <v>0.6023532515373563</v>
      </c>
      <c r="Q10" s="32">
        <f>POWER((2*PI()/L5),2)*(N10*100/30.47)*(20*PI()/180)/32.2</f>
        <v>0.80313766871647518</v>
      </c>
      <c r="R10" s="112"/>
      <c r="S10" s="98">
        <v>1</v>
      </c>
      <c r="T10" s="99">
        <f>POWER((2*PI()/L5),2)*(S10*100/30.47)*(10*PI()/180)/32.2</f>
        <v>0.13385627811941253</v>
      </c>
      <c r="U10" s="99">
        <f>POWER((2*PI()/L5),2)*(S10*100/30.47)*(15*PI()/180)/32.2</f>
        <v>0.2007844171791188</v>
      </c>
      <c r="V10" s="32">
        <f>POWER((2*PI()/L5),2)*(S10*100/30.47)*(20*PI()/180)/32.2</f>
        <v>0.26771255623882506</v>
      </c>
    </row>
    <row r="11" spans="1:51" ht="20.100000000000001" customHeight="1" x14ac:dyDescent="0.2">
      <c r="A11" s="148" t="s">
        <v>102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50"/>
      <c r="N11" s="116">
        <v>1</v>
      </c>
      <c r="O11" s="117">
        <f>POWER((2*PI()/L6),2)*(N11*100/30.47)*(10*PI()/180)/32.2</f>
        <v>0.14941052719697562</v>
      </c>
      <c r="P11" s="117">
        <f>POWER((2*PI()/L6),2)*(N11*100/30.47)*(15*PI()/180)/32.2</f>
        <v>0.22411579079546343</v>
      </c>
      <c r="Q11" s="118">
        <f>POWER((2*PI()/L6),2)*(N11*100/30.47)*(20*PI()/180)/32.2</f>
        <v>0.29882105439395124</v>
      </c>
      <c r="R11" s="112"/>
      <c r="S11" s="116">
        <v>1</v>
      </c>
      <c r="T11" s="117">
        <f>POWER((2*PI()/L6),2)*(S11*100/30.47)*(10*PI()/180)/32.2</f>
        <v>0.14941052719697562</v>
      </c>
      <c r="U11" s="117">
        <f>POWER((2*PI()/L6),2)*(S11*100/30.47)*(15*PI()/180)/32.2</f>
        <v>0.22411579079546343</v>
      </c>
      <c r="V11" s="118">
        <f>POWER((2*PI()/L6),2)*(S11*100/30.47)*(20*PI()/180)/32.2</f>
        <v>0.29882105439395124</v>
      </c>
    </row>
    <row r="12" spans="1:51" ht="20.100000000000001" customHeight="1" x14ac:dyDescent="0.2">
      <c r="A12" s="148" t="s">
        <v>103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50"/>
    </row>
    <row r="13" spans="1:51" ht="20.100000000000001" customHeight="1" x14ac:dyDescent="0.2">
      <c r="A13" s="148" t="s">
        <v>104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50"/>
      <c r="N13" s="135" t="s">
        <v>30</v>
      </c>
      <c r="O13" s="147"/>
      <c r="P13" s="147"/>
      <c r="Q13" s="136"/>
      <c r="R13" s="28"/>
      <c r="S13" s="135" t="s">
        <v>31</v>
      </c>
      <c r="T13" s="147"/>
      <c r="U13" s="147"/>
      <c r="V13" s="136"/>
    </row>
    <row r="14" spans="1:51" ht="20.100000000000001" customHeight="1" x14ac:dyDescent="0.2">
      <c r="A14" s="148" t="s">
        <v>118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50"/>
      <c r="N14" s="6" t="s">
        <v>97</v>
      </c>
      <c r="O14" s="9" t="s">
        <v>8</v>
      </c>
      <c r="P14" s="9" t="s">
        <v>24</v>
      </c>
      <c r="Q14" s="7" t="s">
        <v>25</v>
      </c>
      <c r="S14" s="6" t="s">
        <v>97</v>
      </c>
      <c r="T14" s="9" t="s">
        <v>8</v>
      </c>
      <c r="U14" s="9" t="s">
        <v>24</v>
      </c>
      <c r="V14" s="7" t="s">
        <v>25</v>
      </c>
    </row>
    <row r="15" spans="1:51" ht="20.100000000000001" customHeight="1" x14ac:dyDescent="0.2">
      <c r="A15" s="148" t="s">
        <v>105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50"/>
      <c r="N15" s="98">
        <v>1.3</v>
      </c>
      <c r="O15" s="99">
        <f>POWER((2*PI()/L5),2)*(N15*100/30.47)*(10*PI()/180)/32.2</f>
        <v>0.17401316155523627</v>
      </c>
      <c r="P15" s="99">
        <f>POWER((2*PI()/L5),2)*(N15*100/30.47)*(15*PI()/180)/32.2</f>
        <v>0.26101974233285441</v>
      </c>
      <c r="Q15" s="32">
        <f>POWER((2*PI()/L5),2)*(N15*100/30.47)*(20*PI()/180)/32.2</f>
        <v>0.34802632311047255</v>
      </c>
      <c r="R15" s="112"/>
      <c r="S15" s="98">
        <v>2.2999999999999998</v>
      </c>
      <c r="T15" s="99">
        <f>POWER((2*PI()/L5),2)*(S15*100/30.47)*(10*PI()/180)/32.2</f>
        <v>0.3078694396746488</v>
      </c>
      <c r="U15" s="99">
        <f>POWER((2*PI()/L5),2)*(S15*100/30.47)*(15*PI()/180)/32.2</f>
        <v>0.46180415951197318</v>
      </c>
      <c r="V15" s="32">
        <f>POWER((2*PI()/L5),2)*(S15*100/30.47)*(20*PI()/180)/32.2</f>
        <v>0.61573887934929761</v>
      </c>
    </row>
    <row r="16" spans="1:51" ht="20.100000000000001" customHeight="1" x14ac:dyDescent="0.2">
      <c r="A16" s="148" t="s">
        <v>106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50"/>
      <c r="N16" s="116">
        <v>1</v>
      </c>
      <c r="O16" s="117">
        <f>POWER((2*PI()/L6),2)*(N16*100/30.47)*(10*PI()/180)/32.2</f>
        <v>0.14941052719697562</v>
      </c>
      <c r="P16" s="117">
        <f>POWER((2*PI()/L6),2)*(N16*100/30.47)*(15*PI()/180)/32.2</f>
        <v>0.22411579079546343</v>
      </c>
      <c r="Q16" s="118">
        <f>POWER((2*PI()/L6),2)*(N16*100/30.47)*(20*PI()/180)/32.2</f>
        <v>0.29882105439395124</v>
      </c>
      <c r="R16" s="112"/>
      <c r="S16" s="116">
        <v>1</v>
      </c>
      <c r="T16" s="117">
        <f>POWER((2*PI()/L6),2)*(S16*100/30.47)*(10*PI()/180)/32.2</f>
        <v>0.14941052719697562</v>
      </c>
      <c r="U16" s="117">
        <f>POWER((2*PI()/L6),2)*(S16*100/30.47)*(15*PI()/180)/32.2</f>
        <v>0.22411579079546343</v>
      </c>
      <c r="V16" s="118">
        <f>POWER((2*PI()/L6),2)*(S16*100/30.47)*(20*PI()/180)/32.2</f>
        <v>0.29882105439395124</v>
      </c>
    </row>
    <row r="17" spans="1:22" ht="20.100000000000001" customHeight="1" x14ac:dyDescent="0.2">
      <c r="A17" s="148" t="s">
        <v>107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50"/>
    </row>
    <row r="18" spans="1:22" ht="20.100000000000001" customHeight="1" x14ac:dyDescent="0.2">
      <c r="A18" s="148" t="s">
        <v>108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50"/>
      <c r="N18" s="135" t="s">
        <v>32</v>
      </c>
      <c r="O18" s="147"/>
      <c r="P18" s="147"/>
      <c r="Q18" s="136"/>
      <c r="R18" s="28"/>
      <c r="S18" s="135" t="s">
        <v>33</v>
      </c>
      <c r="T18" s="147"/>
      <c r="U18" s="147"/>
      <c r="V18" s="136"/>
    </row>
    <row r="19" spans="1:22" ht="20.100000000000001" customHeight="1" x14ac:dyDescent="0.2">
      <c r="A19" s="148" t="s">
        <v>109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50"/>
      <c r="N19" s="6" t="s">
        <v>97</v>
      </c>
      <c r="O19" s="9" t="s">
        <v>8</v>
      </c>
      <c r="P19" s="9" t="s">
        <v>24</v>
      </c>
      <c r="Q19" s="7" t="s">
        <v>25</v>
      </c>
      <c r="S19" s="6" t="s">
        <v>97</v>
      </c>
      <c r="T19" s="9" t="s">
        <v>8</v>
      </c>
      <c r="U19" s="9" t="s">
        <v>24</v>
      </c>
      <c r="V19" s="7" t="s">
        <v>25</v>
      </c>
    </row>
    <row r="20" spans="1:22" ht="20.100000000000001" customHeight="1" x14ac:dyDescent="0.2">
      <c r="A20" s="148" t="s">
        <v>110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50"/>
      <c r="N20" s="98">
        <v>3.8</v>
      </c>
      <c r="O20" s="99">
        <f>POWER((2*PI()/L5),2)*(N20*100/30.47)*(10*PI()/180)/32.2</f>
        <v>0.50865385685376763</v>
      </c>
      <c r="P20" s="99">
        <f>POWER((2*PI()/L5),2)*(N20*100/30.47)*(15*PI()/180)/32.2</f>
        <v>0.76298078528065139</v>
      </c>
      <c r="Q20" s="32">
        <f>POWER((2*PI()/L5),2)*(N20*100/30.47)*(20*PI()/180)/32.2</f>
        <v>1.0173077137075353</v>
      </c>
      <c r="R20" s="112"/>
      <c r="S20" s="98">
        <v>2</v>
      </c>
      <c r="T20" s="99">
        <f>POWER((2*PI()/L5),2)*(S20*100/30.47)*(10*PI()/180)/32.2</f>
        <v>0.26771255623882506</v>
      </c>
      <c r="U20" s="99">
        <f>POWER((2*PI()/L5),2)*(S20*100/30.47)*(15*PI()/180)/32.2</f>
        <v>0.40156883435823759</v>
      </c>
      <c r="V20" s="32">
        <f>POWER((2*PI()/L5),2)*(S20*100/30.47)*(20*PI()/180)/32.2</f>
        <v>0.53542511247765012</v>
      </c>
    </row>
    <row r="21" spans="1:22" ht="20.100000000000001" customHeight="1" x14ac:dyDescent="0.2">
      <c r="A21" s="151" t="s">
        <v>111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3"/>
      <c r="N21" s="116">
        <v>1</v>
      </c>
      <c r="O21" s="117">
        <f>POWER((2*PI()/L6),2)*(N21*100/30.47)*(10*PI()/180)/32.2</f>
        <v>0.14941052719697562</v>
      </c>
      <c r="P21" s="117">
        <f>POWER((2*PI()/L6),2)*(N21*100/30.47)*(15*PI()/180)/32.2</f>
        <v>0.22411579079546343</v>
      </c>
      <c r="Q21" s="118">
        <f>POWER((2*PI()/L6),2)*(N21*100/30.47)*(20*PI()/180)/32.2</f>
        <v>0.29882105439395124</v>
      </c>
      <c r="R21" s="112"/>
      <c r="S21" s="116">
        <v>1</v>
      </c>
      <c r="T21" s="117">
        <f>POWER((2*PI()/L6),2)*(S21*100/30.47)*(10*PI()/180)/32.2</f>
        <v>0.14941052719697562</v>
      </c>
      <c r="U21" s="117">
        <f>POWER((2*PI()/L6),2)*(S21*100/30.47)*(15*PI()/180)/32.2</f>
        <v>0.22411579079546343</v>
      </c>
      <c r="V21" s="118">
        <f>POWER((2*PI()/L6),2)*(S21*100/30.47)*(20*PI()/180)/32.2</f>
        <v>0.29882105439395124</v>
      </c>
    </row>
  </sheetData>
  <sheetProtection password="E285" sheet="1" objects="1" scenarios="1"/>
  <mergeCells count="26">
    <mergeCell ref="G3:H3"/>
    <mergeCell ref="A3:B4"/>
    <mergeCell ref="A1:L1"/>
    <mergeCell ref="D3:E3"/>
    <mergeCell ref="A12:L12"/>
    <mergeCell ref="A13:L13"/>
    <mergeCell ref="A14:L14"/>
    <mergeCell ref="A15:L15"/>
    <mergeCell ref="A8:L8"/>
    <mergeCell ref="A9:L9"/>
    <mergeCell ref="A10:L10"/>
    <mergeCell ref="A11:L11"/>
    <mergeCell ref="A20:L20"/>
    <mergeCell ref="A21:L21"/>
    <mergeCell ref="N18:Q18"/>
    <mergeCell ref="A16:L16"/>
    <mergeCell ref="A17:L17"/>
    <mergeCell ref="A18:L18"/>
    <mergeCell ref="A19:L19"/>
    <mergeCell ref="S18:V18"/>
    <mergeCell ref="N8:Q8"/>
    <mergeCell ref="N13:Q13"/>
    <mergeCell ref="S3:V3"/>
    <mergeCell ref="S8:V8"/>
    <mergeCell ref="S13:V13"/>
    <mergeCell ref="N3:Q3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Blad2!Afdrukbereik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Bezemer</dc:creator>
  <cp:lastModifiedBy>Pieter van Boom</cp:lastModifiedBy>
  <cp:lastPrinted>2001-06-02T10:53:56Z</cp:lastPrinted>
  <dcterms:created xsi:type="dcterms:W3CDTF">2001-04-02T13:45:36Z</dcterms:created>
  <dcterms:modified xsi:type="dcterms:W3CDTF">2021-09-29T19:42:54Z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5773462</vt:i4>
  </property>
  <property fmtid="{D5CDD505-2E9C-101B-9397-08002B2CF9AE}" pid="3" name="_EmailSubject">
    <vt:lpwstr>Comfortfactor 2</vt:lpwstr>
  </property>
  <property fmtid="{D5CDD505-2E9C-101B-9397-08002B2CF9AE}" pid="4" name="_AuthorEmail">
    <vt:lpwstr>henk@stam-yachting.nl</vt:lpwstr>
  </property>
  <property fmtid="{D5CDD505-2E9C-101B-9397-08002B2CF9AE}" pid="5" name="_AuthorEmailDisplayName">
    <vt:lpwstr>Henk Bezemer</vt:lpwstr>
  </property>
  <property fmtid="{D5CDD505-2E9C-101B-9397-08002B2CF9AE}" pid="6" name="_ReviewingToolsShownOnce">
    <vt:lpwstr/>
  </property>
</Properties>
</file>