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icroiset\Documents\Documents 09 2008\470 pictures\noordstar 45\Roer\"/>
    </mc:Choice>
  </mc:AlternateContent>
  <xr:revisionPtr revIDLastSave="0" documentId="13_ncr:1_{F7502B70-9C0E-4055-AB92-3FB948F93986}" xr6:coauthVersionLast="47" xr6:coauthVersionMax="47" xr10:uidLastSave="{00000000-0000-0000-0000-000000000000}"/>
  <bookViews>
    <workbookView xWindow="285" yWindow="255" windowWidth="14655" windowHeight="14580" xr2:uid="{00000000-000D-0000-FFFF-FFFF00000000}"/>
  </bookViews>
  <sheets>
    <sheet name="Roerblad parameters" sheetId="1" r:id="rId1"/>
    <sheet name="NACA profielen" sheetId="2" r:id="rId2"/>
    <sheet name="AutoCad" sheetId="3" r:id="rId3"/>
  </sheets>
  <definedNames>
    <definedName name="_krd0">'NACA profielen'!$G$7</definedName>
    <definedName name="_krd1">'NACA profielen'!$J$7</definedName>
    <definedName name="_krd2">'NACA profielen'!$M$7</definedName>
    <definedName name="_krd3">'NACA profielen'!$P$7</definedName>
    <definedName name="naca">'NACA profielen'!$B$7</definedName>
    <definedName name="nrpoints">'NACA profielen'!$B$29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F42" i="1"/>
  <c r="E42" i="1"/>
  <c r="D43" i="1"/>
  <c r="F38" i="1"/>
  <c r="F25" i="1"/>
  <c r="F26" i="1" s="1"/>
  <c r="F21" i="1"/>
  <c r="F13" i="1"/>
  <c r="F19" i="1" s="1"/>
  <c r="F9" i="1"/>
  <c r="F12" i="1" s="1"/>
  <c r="G25" i="1"/>
  <c r="G26" i="1" s="1"/>
  <c r="E25" i="1"/>
  <c r="E26" i="1" s="1"/>
  <c r="D25" i="1"/>
  <c r="G21" i="1"/>
  <c r="E21" i="1"/>
  <c r="D21" i="1"/>
  <c r="D13" i="1"/>
  <c r="D19" i="1" s="1"/>
  <c r="G13" i="1"/>
  <c r="G15" i="1" s="1"/>
  <c r="E13" i="1"/>
  <c r="E15" i="1" s="1"/>
  <c r="E38" i="1"/>
  <c r="E9" i="1"/>
  <c r="G38" i="1"/>
  <c r="G9" i="1"/>
  <c r="D38" i="1"/>
  <c r="D7" i="2"/>
  <c r="F24" i="3"/>
  <c r="E24" i="3"/>
  <c r="E19" i="1" l="1"/>
  <c r="F20" i="1"/>
  <c r="G19" i="1"/>
  <c r="G22" i="1" s="1"/>
  <c r="F22" i="1"/>
  <c r="F15" i="1"/>
  <c r="E20" i="1"/>
  <c r="E22" i="1"/>
  <c r="G20" i="1"/>
  <c r="E12" i="1"/>
  <c r="G12" i="1"/>
  <c r="D24" i="3"/>
  <c r="C24" i="3"/>
  <c r="F23" i="3"/>
  <c r="E23" i="3"/>
  <c r="D23" i="3"/>
  <c r="C23" i="3"/>
  <c r="B17" i="3"/>
  <c r="B14" i="3"/>
  <c r="B11" i="3"/>
  <c r="B8" i="3"/>
  <c r="D26" i="1"/>
  <c r="D15" i="1"/>
  <c r="B7" i="2"/>
  <c r="D30" i="2" s="1"/>
  <c r="B10" i="2"/>
  <c r="B11" i="2" l="1"/>
  <c r="D22" i="1"/>
  <c r="D9" i="1"/>
  <c r="D12" i="1" l="1"/>
  <c r="D20" i="1"/>
  <c r="B12" i="2"/>
  <c r="B13" i="2" l="1"/>
  <c r="B14" i="2" l="1"/>
  <c r="B15" i="2" s="1"/>
  <c r="B16" i="2" l="1"/>
  <c r="B17" i="2" l="1"/>
  <c r="B18" i="2" l="1"/>
  <c r="B19" i="2" l="1"/>
  <c r="B20" i="2" l="1"/>
  <c r="B21" i="2" l="1"/>
  <c r="B22" i="2" l="1"/>
  <c r="B23" i="2" l="1"/>
  <c r="B24" i="2" l="1"/>
  <c r="B25" i="2" l="1"/>
  <c r="B26" i="2" l="1"/>
  <c r="B27" i="2" l="1"/>
  <c r="B28" i="2" l="1"/>
  <c r="B29" i="2" l="1"/>
  <c r="C28" i="2" s="1"/>
  <c r="D28" i="2" s="1"/>
  <c r="C29" i="2" l="1"/>
  <c r="D29" i="2" s="1"/>
  <c r="C9" i="2"/>
  <c r="D9" i="2" s="1"/>
  <c r="C10" i="2"/>
  <c r="D10" i="2" s="1"/>
  <c r="C11" i="2"/>
  <c r="D11" i="2" s="1"/>
  <c r="C12" i="2"/>
  <c r="D12" i="2" s="1"/>
  <c r="C13" i="2"/>
  <c r="D13" i="2" s="1"/>
  <c r="C14" i="2"/>
  <c r="D14" i="2" s="1"/>
  <c r="C15" i="2"/>
  <c r="D15" i="2" s="1"/>
  <c r="C16" i="2"/>
  <c r="D16" i="2" s="1"/>
  <c r="C17" i="2"/>
  <c r="D17" i="2" s="1"/>
  <c r="C18" i="2"/>
  <c r="D18" i="2" s="1"/>
  <c r="C19" i="2"/>
  <c r="D19" i="2" s="1"/>
  <c r="C20" i="2"/>
  <c r="D20" i="2" s="1"/>
  <c r="C21" i="2"/>
  <c r="D21" i="2" s="1"/>
  <c r="C22" i="2"/>
  <c r="D22" i="2" s="1"/>
  <c r="C23" i="2"/>
  <c r="D23" i="2" s="1"/>
  <c r="C24" i="2"/>
  <c r="D24" i="2" s="1"/>
  <c r="C25" i="2"/>
  <c r="D25" i="2" s="1"/>
  <c r="C26" i="2"/>
  <c r="D26" i="2" s="1"/>
  <c r="C27" i="2"/>
  <c r="D27" i="2" s="1"/>
  <c r="L3" i="2" l="1"/>
  <c r="C6" i="3" s="1"/>
  <c r="J7" i="2" l="1"/>
  <c r="M7" i="2"/>
  <c r="P7" i="2"/>
  <c r="G7" i="2"/>
  <c r="G29" i="2" s="1"/>
  <c r="F19" i="2" l="1"/>
  <c r="F29" i="2"/>
  <c r="I28" i="2"/>
  <c r="I27" i="2"/>
  <c r="I23" i="2"/>
  <c r="I11" i="2"/>
  <c r="I24" i="2"/>
  <c r="I20" i="2"/>
  <c r="I12" i="2"/>
  <c r="I25" i="2"/>
  <c r="I13" i="2"/>
  <c r="I22" i="2"/>
  <c r="I14" i="2"/>
  <c r="J28" i="2"/>
  <c r="I16" i="2"/>
  <c r="I17" i="2"/>
  <c r="I26" i="2"/>
  <c r="I10" i="2"/>
  <c r="I29" i="2"/>
  <c r="I18" i="2"/>
  <c r="I19" i="2"/>
  <c r="I15" i="2"/>
  <c r="I21" i="2"/>
  <c r="J27" i="2"/>
  <c r="J17" i="2"/>
  <c r="J13" i="2"/>
  <c r="J21" i="2"/>
  <c r="J15" i="2"/>
  <c r="J14" i="2"/>
  <c r="J16" i="2"/>
  <c r="J22" i="2"/>
  <c r="J26" i="2"/>
  <c r="J11" i="2"/>
  <c r="J24" i="2"/>
  <c r="J20" i="2"/>
  <c r="J12" i="2"/>
  <c r="J23" i="2"/>
  <c r="J29" i="2"/>
  <c r="J19" i="2"/>
  <c r="J18" i="2"/>
  <c r="J10" i="2"/>
  <c r="J25" i="2"/>
  <c r="O28" i="2"/>
  <c r="O15" i="2"/>
  <c r="O12" i="2"/>
  <c r="O29" i="2"/>
  <c r="O25" i="2"/>
  <c r="O13" i="2"/>
  <c r="O14" i="2"/>
  <c r="O19" i="2"/>
  <c r="O22" i="2"/>
  <c r="O10" i="2"/>
  <c r="O27" i="2"/>
  <c r="O11" i="2"/>
  <c r="O20" i="2"/>
  <c r="O18" i="2"/>
  <c r="O21" i="2"/>
  <c r="O26" i="2"/>
  <c r="P28" i="2"/>
  <c r="O23" i="2"/>
  <c r="O24" i="2"/>
  <c r="O16" i="2"/>
  <c r="O17" i="2"/>
  <c r="P19" i="2"/>
  <c r="P15" i="2"/>
  <c r="P11" i="2"/>
  <c r="P21" i="2"/>
  <c r="P12" i="2"/>
  <c r="P25" i="2"/>
  <c r="P27" i="2"/>
  <c r="P18" i="2"/>
  <c r="P17" i="2"/>
  <c r="P24" i="2"/>
  <c r="P13" i="2"/>
  <c r="P10" i="2"/>
  <c r="P23" i="2"/>
  <c r="P29" i="2"/>
  <c r="P16" i="2"/>
  <c r="P26" i="2"/>
  <c r="P14" i="2"/>
  <c r="P20" i="2"/>
  <c r="P22" i="2"/>
  <c r="L28" i="2"/>
  <c r="L16" i="2"/>
  <c r="L17" i="2"/>
  <c r="L26" i="2"/>
  <c r="L22" i="2"/>
  <c r="L10" i="2"/>
  <c r="L27" i="2"/>
  <c r="L23" i="2"/>
  <c r="L24" i="2"/>
  <c r="L20" i="2"/>
  <c r="L18" i="2"/>
  <c r="M28" i="2"/>
  <c r="L19" i="2"/>
  <c r="L15" i="2"/>
  <c r="L12" i="2"/>
  <c r="L29" i="2"/>
  <c r="L21" i="2"/>
  <c r="L13" i="2"/>
  <c r="L14" i="2"/>
  <c r="L11" i="2"/>
  <c r="L25" i="2"/>
  <c r="M24" i="2"/>
  <c r="M20" i="2"/>
  <c r="M16" i="2"/>
  <c r="M10" i="2"/>
  <c r="M13" i="2"/>
  <c r="M23" i="2"/>
  <c r="M26" i="2"/>
  <c r="M19" i="2"/>
  <c r="M12" i="2"/>
  <c r="M29" i="2"/>
  <c r="M15" i="2"/>
  <c r="M18" i="2"/>
  <c r="M14" i="2"/>
  <c r="M22" i="2"/>
  <c r="M21" i="2"/>
  <c r="M25" i="2"/>
  <c r="M27" i="2"/>
  <c r="M11" i="2"/>
  <c r="M17" i="2"/>
  <c r="G15" i="2"/>
  <c r="F18" i="2"/>
  <c r="G28" i="2"/>
  <c r="F23" i="2"/>
  <c r="F27" i="2"/>
  <c r="G12" i="2"/>
  <c r="F16" i="2"/>
  <c r="G10" i="2"/>
  <c r="G26" i="2"/>
  <c r="G24" i="2"/>
  <c r="F13" i="2"/>
  <c r="F22" i="2"/>
  <c r="G17" i="2"/>
  <c r="G23" i="2"/>
  <c r="G20" i="2"/>
  <c r="G22" i="2"/>
  <c r="G18" i="2"/>
  <c r="G25" i="2"/>
  <c r="G16" i="2"/>
  <c r="F14" i="2"/>
  <c r="G19" i="2"/>
  <c r="G11" i="2"/>
  <c r="F26" i="2"/>
  <c r="F15" i="2"/>
  <c r="F20" i="2"/>
  <c r="F24" i="2"/>
  <c r="F21" i="2"/>
  <c r="F28" i="2"/>
  <c r="G27" i="2"/>
  <c r="F17" i="2"/>
  <c r="F12" i="2"/>
  <c r="F10" i="2"/>
  <c r="C25" i="3" s="1"/>
  <c r="G13" i="2"/>
  <c r="F11" i="2"/>
  <c r="G14" i="2"/>
  <c r="G21" i="2"/>
  <c r="F25" i="2"/>
  <c r="G41" i="2" l="1"/>
  <c r="G42" i="2" s="1"/>
  <c r="C30" i="3"/>
  <c r="F32" i="3"/>
  <c r="C38" i="3"/>
  <c r="E39" i="3"/>
  <c r="F41" i="3"/>
  <c r="F34" i="3"/>
  <c r="C27" i="3"/>
  <c r="E27" i="3"/>
  <c r="C36" i="3"/>
  <c r="C31" i="3"/>
  <c r="E42" i="3"/>
  <c r="F36" i="3"/>
  <c r="F42" i="3"/>
  <c r="F29" i="3"/>
  <c r="D34" i="3"/>
  <c r="D41" i="3"/>
  <c r="E36" i="3"/>
  <c r="D43" i="3"/>
  <c r="E43" i="3"/>
  <c r="E28" i="3"/>
  <c r="D33" i="3"/>
  <c r="D37" i="3"/>
  <c r="D42" i="3"/>
  <c r="F25" i="3"/>
  <c r="F38" i="3"/>
  <c r="C42" i="3"/>
  <c r="C32" i="3"/>
  <c r="E31" i="3"/>
  <c r="E32" i="3"/>
  <c r="D27" i="3"/>
  <c r="C34" i="3"/>
  <c r="C41" i="3"/>
  <c r="E38" i="3"/>
  <c r="F37" i="3"/>
  <c r="F43" i="3"/>
  <c r="F30" i="3"/>
  <c r="C33" i="3"/>
  <c r="F39" i="3"/>
  <c r="F27" i="3"/>
  <c r="E35" i="3"/>
  <c r="E29" i="3"/>
  <c r="E26" i="3"/>
  <c r="E41" i="3"/>
  <c r="F31" i="3"/>
  <c r="F26" i="3"/>
  <c r="E33" i="3"/>
  <c r="E40" i="3"/>
  <c r="E37" i="3"/>
  <c r="F35" i="3"/>
  <c r="F40" i="3"/>
  <c r="E34" i="3"/>
  <c r="E30" i="3"/>
  <c r="E25" i="3"/>
  <c r="F33" i="3"/>
  <c r="F28" i="3"/>
  <c r="D25" i="3"/>
  <c r="D40" i="3"/>
  <c r="D28" i="3"/>
  <c r="C39" i="3"/>
  <c r="D29" i="3"/>
  <c r="D38" i="3"/>
  <c r="D30" i="3"/>
  <c r="D26" i="3"/>
  <c r="C35" i="3"/>
  <c r="C26" i="3"/>
  <c r="C37" i="3"/>
  <c r="D36" i="3"/>
  <c r="D31" i="3"/>
  <c r="D39" i="3"/>
  <c r="C28" i="3"/>
  <c r="C29" i="3"/>
  <c r="C43" i="3"/>
  <c r="C40" i="3"/>
  <c r="D32" i="3"/>
  <c r="D35" i="3"/>
  <c r="D44" i="3"/>
  <c r="C44" i="3"/>
  <c r="E44" i="3"/>
  <c r="F44" i="3"/>
  <c r="B15" i="3" l="1"/>
  <c r="B18" i="3"/>
  <c r="B9" i="3"/>
  <c r="B12" i="3"/>
</calcChain>
</file>

<file path=xl/sharedStrings.xml><?xml version="1.0" encoding="utf-8"?>
<sst xmlns="http://schemas.openxmlformats.org/spreadsheetml/2006/main" count="104" uniqueCount="70">
  <si>
    <t>m2</t>
  </si>
  <si>
    <t>dikte roerkoning</t>
  </si>
  <si>
    <t>mm</t>
  </si>
  <si>
    <t>Balansdeel werkelijk oppervlakte</t>
  </si>
  <si>
    <t>werkelijk nieuw roeroppervlak</t>
  </si>
  <si>
    <t>nieuw roeroppervlak/adw zeiloppervlak wordt</t>
  </si>
  <si>
    <t>Balansdeel/roeroppervlak wordt dan</t>
  </si>
  <si>
    <t>gekozen roeroppervlak (doeloppervlak)</t>
  </si>
  <si>
    <t>theoretisch balansdeel roer (doelpercentage)</t>
  </si>
  <si>
    <t>koorde</t>
  </si>
  <si>
    <t>x</t>
  </si>
  <si>
    <t>y</t>
  </si>
  <si>
    <t>NACA profielen</t>
  </si>
  <si>
    <t>Grootste koorde is</t>
  </si>
  <si>
    <t>nr</t>
  </si>
  <si>
    <t xml:space="preserve">NACA </t>
  </si>
  <si>
    <t>Grootste dikte praktisch</t>
  </si>
  <si>
    <t>x [ mm]</t>
  </si>
  <si>
    <t>y [mm]</t>
  </si>
  <si>
    <t>Het  theoretische NACA profiel is dan</t>
  </si>
  <si>
    <t>vuistregel: theoretisch roeroppervlak/adw zeiloppervlak</t>
  </si>
  <si>
    <t>theoretisch roeroppervlak op basis van vuistregel</t>
  </si>
  <si>
    <t>Alleen in de gele vakken iets invullen!</t>
  </si>
  <si>
    <t>Onderstaande plot is alleen bedoeld voor visuele controle en is niet op schaal.</t>
  </si>
  <si>
    <t>--&gt; nodig ivm latere check op dikte tpv roerkoning. Er wordt hier niets uitgerekend met dit getal.</t>
  </si>
  <si>
    <t>--&gt;  eventueel kan hier een afwijkend oppervlak worden ingevuld, bijvoorbeeld omdat de klasseregels een maximale maat geven.</t>
  </si>
  <si>
    <t>--&gt; gemeten in CAD of van tekening</t>
  </si>
  <si>
    <t>--&gt; bij wijze van controle ten opzichtte van de 'vuistregel'.</t>
  </si>
  <si>
    <t>--&gt; controle of het oppervlakte in de buurt komt van het gewenste balansdeel</t>
  </si>
  <si>
    <t>--&gt; de langste koorde gemeten in CAD of van tekening. Hier heeft het blad zijn grootste dikte.</t>
  </si>
  <si>
    <t>--&gt; dit wordt gebruikt voor het uitrekenen van de profielen, zie tab 'NACA profielen'</t>
  </si>
  <si>
    <t>totaal aandewindse zeiloppervlakte</t>
  </si>
  <si>
    <t>zeiloppervlak fok of genua</t>
  </si>
  <si>
    <t>zeiloppervlak grootzeil</t>
  </si>
  <si>
    <t>theoretisch oppervlak balansdeel (doeloppervlak)</t>
  </si>
  <si>
    <t>Extra lengte koordes 'a'</t>
  </si>
  <si>
    <t>Auteur: Timo Giling 2013</t>
  </si>
  <si>
    <t xml:space="preserve">Halve breedte van de achterrand 'd' </t>
  </si>
  <si>
    <t>profielmal</t>
  </si>
  <si>
    <r>
      <t>Gekozen NACA profiel (</t>
    </r>
    <r>
      <rPr>
        <sz val="11"/>
        <color theme="1"/>
        <rFont val="Calibri"/>
        <family val="2"/>
        <scheme val="minor"/>
      </rPr>
      <t>≤ theoretisch profiel)</t>
    </r>
  </si>
  <si>
    <t>De eerste set kolommen is de modelvorm, uitgerekend op basis van het in het 'parameters' tabblad vastgestelde NACA-profiel. Daarachter staan 4 kolommen, dit zijn de maten van de profielmalletjes. Alleen in de gele vakken iets invullen!  LET OP:  Om een achterrand met een bepaalde breedte (b.v. 4mm) te krijgen worden de koordes waarmee wordt gerekend verlengd met een lengte 'a'. De berekende profielen moeten vervolgens worden 'afgekapt' op 'a' mm van de berekende achterrand. De gewenste breedte van de achterrand kan worden opgegeven in milimeters. Zie ook de tekening onderaan deze pagina.</t>
  </si>
  <si>
    <t>--&gt; Dit geeft een richtgetal om het ontwerp mee te maken.</t>
  </si>
  <si>
    <t>--&gt;  17% wordt vaak genoemd als een goede balansverhouding. Meer dan 18% wordt afgeraden.</t>
  </si>
  <si>
    <t>koorde + a</t>
  </si>
  <si>
    <t>--&gt;  theoretisch tussen de 1 en 2%. Vaak wordt 1,4% genoemd als optimum.</t>
  </si>
  <si>
    <t>Berekeningen Roerblad Zeilboot</t>
  </si>
  <si>
    <t>Roerblad parameters</t>
  </si>
  <si>
    <t>AutoCad</t>
  </si>
  <si>
    <t>Let er op dat je de achterrand nog handmatig moet 'afkappen' om de juiste breedte te verkrijgen.</t>
  </si>
  <si>
    <t>Onderstaand staan dezelfde coördinaten nogmaals, maar dan onder elkaar. Voor sommige CAD programma's is dit praktischer.</t>
  </si>
  <si>
    <t>AutoCad is heel handig om de profielmallen exact te plotten. Hiervoor wordt het 'SPLINE' commando gebruikt in combinatie met de x-y coördinaten die op het tabblad 'NACA profielen'  zijn uitgerekend. Kopiëer hiervoor de volledige 'SPLINE' string  en plak deze in AutoCad in de command line. Sluit ieder SPLINE commando af door 4x op enter te drukken.</t>
  </si>
  <si>
    <t>Andere CAD programma's vragen mogelijk om andere commando's. Hiervoor kan je de formules aanpassen, maar het is wellicht eenvoudiger om de tekst in de gekopiëerde strings zelf aan te passen, bijvoorbeeld in Windows Notepad.</t>
  </si>
  <si>
    <t xml:space="preserve">--&gt; in dit voor voorbeeld:  6 platen van 10,0 mm (let op: de gemeten houtdikte wijkt vaak af van de opgegeven dikte). </t>
  </si>
  <si>
    <t>Origineel</t>
  </si>
  <si>
    <t>hoogte voor</t>
  </si>
  <si>
    <t>hoogte achter</t>
  </si>
  <si>
    <t>breedte boven</t>
  </si>
  <si>
    <t>breedte onder</t>
  </si>
  <si>
    <t>hoogte roer bij oppervlakte centrum</t>
  </si>
  <si>
    <t>Roerverhouding = (hoogte roer)² / roeroppervlak</t>
  </si>
  <si>
    <t>Model 1</t>
  </si>
  <si>
    <t>m</t>
  </si>
  <si>
    <t>Oppervlakte roer</t>
  </si>
  <si>
    <t>Oppervlakte voor roerkoning</t>
  </si>
  <si>
    <t>Model 2</t>
  </si>
  <si>
    <t>Model 3</t>
  </si>
  <si>
    <t>Dikste</t>
  </si>
  <si>
    <t>Naca gewoonlijk drukpunt op 35 % van de lengte</t>
  </si>
  <si>
    <t>Drukpunt achter roeras</t>
  </si>
  <si>
    <t>Plaat roer drukpunt op 50% van de breedte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</si>
</sst>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0.0%"/>
    <numFmt numFmtId="165" formatCode="0.000"/>
    <numFmt numFmtId="166" formatCode="0.0000"/>
    <numFmt numFmtId="167" formatCode="0.0"/>
    <numFmt numFmtId="168" formatCode="&quot;00&quot;#.0"/>
    <numFmt numFmtId="169" formatCode="0.00000"/>
    <numFmt numFmtId="170" formatCode="0.0\ &quot;mm&quot;"/>
    <numFmt numFmtId="171" formatCode="&quot;Profielmal&quot;\ @"/>
    <numFmt numFmtId="172" formatCode="&quot;00&quot;00.0"/>
    <numFmt numFmtId="173" formatCode="&quot;Hiervoor moet je ieder profiel op &quot;0.0&quot; mm van de achterrand afkappen.&quot;"/>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Arial"/>
      <family val="2"/>
    </font>
    <font>
      <b/>
      <sz val="10"/>
      <name val="Arial"/>
      <family val="2"/>
    </font>
    <font>
      <sz val="11"/>
      <name val="Calibri"/>
      <family val="2"/>
      <scheme val="minor"/>
    </font>
    <font>
      <sz val="11"/>
      <color rgb="FF0000FF"/>
      <name val="Calibri"/>
      <family val="2"/>
      <scheme val="minor"/>
    </font>
    <font>
      <b/>
      <sz val="11"/>
      <name val="Calibri"/>
      <family val="2"/>
      <scheme val="minor"/>
    </font>
    <font>
      <b/>
      <sz val="12"/>
      <name val="Calibri"/>
      <family val="2"/>
      <scheme val="minor"/>
    </font>
    <font>
      <sz val="10"/>
      <color theme="0"/>
      <name val="Arial"/>
      <family val="2"/>
    </font>
    <font>
      <i/>
      <sz val="10"/>
      <name val="Arial"/>
      <family val="2"/>
    </font>
    <font>
      <u/>
      <sz val="10"/>
      <name val="Arial"/>
      <family val="2"/>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43" fontId="1" fillId="0" borderId="0" applyFont="0" applyFill="0" applyBorder="0" applyAlignment="0" applyProtection="0"/>
  </cellStyleXfs>
  <cellXfs count="89">
    <xf numFmtId="0" fontId="0" fillId="0" borderId="0" xfId="0"/>
    <xf numFmtId="0" fontId="0" fillId="0" borderId="0" xfId="0" applyAlignment="1">
      <alignment horizontal="right"/>
    </xf>
    <xf numFmtId="10" fontId="0" fillId="0" borderId="0" xfId="1" applyNumberFormat="1" applyFont="1"/>
    <xf numFmtId="164" fontId="0" fillId="0" borderId="0" xfId="1" applyNumberFormat="1" applyFont="1"/>
    <xf numFmtId="166" fontId="0" fillId="0" borderId="0" xfId="0" applyNumberFormat="1"/>
    <xf numFmtId="0" fontId="3" fillId="0" borderId="0" xfId="2"/>
    <xf numFmtId="0" fontId="4" fillId="0" borderId="0" xfId="2" applyFont="1"/>
    <xf numFmtId="169" fontId="6" fillId="0" borderId="0" xfId="0" applyNumberFormat="1" applyFont="1" applyAlignment="1">
      <alignment horizontal="center"/>
    </xf>
    <xf numFmtId="0" fontId="8" fillId="0" borderId="0" xfId="0" applyFont="1" applyAlignment="1">
      <alignment horizontal="center"/>
    </xf>
    <xf numFmtId="0" fontId="5" fillId="2" borderId="5" xfId="2" applyFont="1" applyFill="1" applyBorder="1" applyAlignment="1">
      <alignment horizontal="center"/>
    </xf>
    <xf numFmtId="0" fontId="6" fillId="0" borderId="0" xfId="0" applyFont="1"/>
    <xf numFmtId="0" fontId="9" fillId="0" borderId="0" xfId="0" applyFont="1" applyAlignment="1">
      <alignment horizontal="center"/>
    </xf>
    <xf numFmtId="164" fontId="0" fillId="0" borderId="0" xfId="0" applyNumberFormat="1" applyAlignment="1">
      <alignment horizontal="right" indent="1"/>
    </xf>
    <xf numFmtId="169" fontId="7" fillId="0" borderId="0" xfId="0" applyNumberFormat="1" applyFont="1" applyAlignment="1">
      <alignment horizontal="center"/>
    </xf>
    <xf numFmtId="0" fontId="4" fillId="2" borderId="0" xfId="2" applyFont="1" applyFill="1" applyAlignment="1">
      <alignment horizontal="right"/>
    </xf>
    <xf numFmtId="0" fontId="0" fillId="2" borderId="10" xfId="0" applyFill="1" applyBorder="1"/>
    <xf numFmtId="0" fontId="0" fillId="2" borderId="0" xfId="0" applyFill="1"/>
    <xf numFmtId="9" fontId="0" fillId="2" borderId="0" xfId="0" applyNumberFormat="1" applyFill="1"/>
    <xf numFmtId="0" fontId="0" fillId="3" borderId="0" xfId="0" applyFill="1"/>
    <xf numFmtId="0" fontId="2" fillId="3" borderId="0" xfId="0" applyFont="1" applyFill="1"/>
    <xf numFmtId="0" fontId="0" fillId="3" borderId="0" xfId="0" quotePrefix="1" applyFill="1"/>
    <xf numFmtId="0" fontId="0" fillId="3" borderId="0" xfId="0" applyFill="1" applyAlignment="1">
      <alignment horizontal="left"/>
    </xf>
    <xf numFmtId="10" fontId="0" fillId="3" borderId="0" xfId="1" applyNumberFormat="1" applyFont="1" applyFill="1" applyBorder="1"/>
    <xf numFmtId="164" fontId="0" fillId="3" borderId="0" xfId="1" applyNumberFormat="1" applyFont="1" applyFill="1" applyBorder="1"/>
    <xf numFmtId="168" fontId="0" fillId="3" borderId="0" xfId="0" applyNumberFormat="1" applyFill="1"/>
    <xf numFmtId="0" fontId="3" fillId="3" borderId="0" xfId="2" applyFill="1"/>
    <xf numFmtId="0" fontId="5" fillId="3" borderId="0" xfId="2" applyFont="1" applyFill="1"/>
    <xf numFmtId="0" fontId="10" fillId="3" borderId="1" xfId="2" applyFont="1" applyFill="1" applyBorder="1" applyAlignment="1">
      <alignment horizontal="center"/>
    </xf>
    <xf numFmtId="0" fontId="4" fillId="3" borderId="9" xfId="2" applyFont="1" applyFill="1" applyBorder="1" applyAlignment="1">
      <alignment horizontal="right"/>
    </xf>
    <xf numFmtId="0" fontId="3" fillId="3" borderId="4" xfId="2" applyFill="1" applyBorder="1"/>
    <xf numFmtId="0" fontId="4" fillId="3" borderId="6" xfId="2" applyFont="1" applyFill="1" applyBorder="1" applyAlignment="1">
      <alignment horizontal="center"/>
    </xf>
    <xf numFmtId="0" fontId="4" fillId="3" borderId="4" xfId="2" applyFont="1" applyFill="1" applyBorder="1" applyAlignment="1">
      <alignment horizontal="center"/>
    </xf>
    <xf numFmtId="0" fontId="11" fillId="3" borderId="7" xfId="2" applyFont="1" applyFill="1" applyBorder="1" applyAlignment="1">
      <alignment horizontal="center"/>
    </xf>
    <xf numFmtId="0" fontId="11" fillId="3" borderId="5" xfId="2" applyFont="1" applyFill="1" applyBorder="1" applyAlignment="1">
      <alignment horizontal="center"/>
    </xf>
    <xf numFmtId="0" fontId="5" fillId="3" borderId="4" xfId="2" applyFont="1" applyFill="1" applyBorder="1" applyAlignment="1">
      <alignment horizontal="center"/>
    </xf>
    <xf numFmtId="0" fontId="4" fillId="3" borderId="0" xfId="2" applyFont="1" applyFill="1"/>
    <xf numFmtId="165" fontId="4" fillId="3" borderId="7" xfId="2" applyNumberFormat="1" applyFont="1" applyFill="1" applyBorder="1"/>
    <xf numFmtId="165" fontId="4" fillId="3" borderId="5" xfId="2" applyNumberFormat="1" applyFont="1" applyFill="1" applyBorder="1"/>
    <xf numFmtId="0" fontId="4" fillId="3" borderId="4" xfId="2" applyFont="1" applyFill="1" applyBorder="1"/>
    <xf numFmtId="167" fontId="4" fillId="3" borderId="6" xfId="2" applyNumberFormat="1" applyFont="1" applyFill="1" applyBorder="1"/>
    <xf numFmtId="167" fontId="4" fillId="3" borderId="5" xfId="2" applyNumberFormat="1" applyFont="1" applyFill="1" applyBorder="1"/>
    <xf numFmtId="167" fontId="4" fillId="3" borderId="4" xfId="2" applyNumberFormat="1" applyFont="1" applyFill="1" applyBorder="1"/>
    <xf numFmtId="0" fontId="3" fillId="3" borderId="6" xfId="2" applyFill="1" applyBorder="1" applyAlignment="1">
      <alignment horizontal="center"/>
    </xf>
    <xf numFmtId="167" fontId="3" fillId="3" borderId="6" xfId="2" applyNumberFormat="1" applyFill="1" applyBorder="1"/>
    <xf numFmtId="167" fontId="3" fillId="3" borderId="5" xfId="2" applyNumberFormat="1" applyFill="1" applyBorder="1"/>
    <xf numFmtId="167" fontId="3" fillId="3" borderId="4" xfId="2" applyNumberFormat="1" applyFill="1" applyBorder="1"/>
    <xf numFmtId="0" fontId="4" fillId="3" borderId="3" xfId="2" applyFont="1" applyFill="1" applyBorder="1" applyAlignment="1">
      <alignment horizontal="center"/>
    </xf>
    <xf numFmtId="165" fontId="4" fillId="3" borderId="8" xfId="2" applyNumberFormat="1" applyFont="1" applyFill="1" applyBorder="1"/>
    <xf numFmtId="165" fontId="4" fillId="3" borderId="2" xfId="2" applyNumberFormat="1" applyFont="1" applyFill="1" applyBorder="1"/>
    <xf numFmtId="167" fontId="3" fillId="3" borderId="3" xfId="2" applyNumberFormat="1" applyFill="1" applyBorder="1"/>
    <xf numFmtId="167" fontId="3" fillId="3" borderId="2" xfId="2" applyNumberFormat="1" applyFill="1" applyBorder="1"/>
    <xf numFmtId="167" fontId="4" fillId="3" borderId="3" xfId="2" applyNumberFormat="1" applyFont="1" applyFill="1" applyBorder="1"/>
    <xf numFmtId="165" fontId="0" fillId="2" borderId="0" xfId="0" applyNumberFormat="1" applyFill="1"/>
    <xf numFmtId="165" fontId="0" fillId="3" borderId="0" xfId="0" applyNumberFormat="1" applyFill="1"/>
    <xf numFmtId="164" fontId="0" fillId="2" borderId="0" xfId="1" applyNumberFormat="1" applyFont="1" applyFill="1"/>
    <xf numFmtId="0" fontId="4" fillId="3" borderId="0" xfId="2" applyFont="1" applyFill="1" applyAlignment="1">
      <alignment horizontal="center"/>
    </xf>
    <xf numFmtId="165" fontId="4" fillId="3" borderId="0" xfId="2" applyNumberFormat="1" applyFont="1" applyFill="1"/>
    <xf numFmtId="167" fontId="3" fillId="3" borderId="0" xfId="2" applyNumberFormat="1" applyFill="1"/>
    <xf numFmtId="167" fontId="4" fillId="3" borderId="0" xfId="2" applyNumberFormat="1" applyFont="1" applyFill="1"/>
    <xf numFmtId="0" fontId="4" fillId="3" borderId="0" xfId="2" applyFont="1" applyFill="1" applyAlignment="1">
      <alignment horizontal="left" vertical="center" wrapText="1"/>
    </xf>
    <xf numFmtId="0" fontId="3" fillId="3" borderId="0" xfId="2" applyFill="1" applyAlignment="1">
      <alignment horizontal="left" vertical="center" wrapText="1"/>
    </xf>
    <xf numFmtId="0" fontId="4" fillId="3" borderId="0" xfId="2" applyFont="1" applyFill="1" applyAlignment="1">
      <alignment horizontal="right" vertical="center"/>
    </xf>
    <xf numFmtId="0" fontId="4" fillId="3" borderId="13" xfId="2" applyFont="1" applyFill="1" applyBorder="1" applyAlignment="1">
      <alignment horizontal="center"/>
    </xf>
    <xf numFmtId="0" fontId="4" fillId="3" borderId="14" xfId="2" applyFont="1" applyFill="1" applyBorder="1" applyAlignment="1">
      <alignment horizontal="center"/>
    </xf>
    <xf numFmtId="0" fontId="4" fillId="3" borderId="1" xfId="2" applyFont="1" applyFill="1" applyBorder="1" applyAlignment="1">
      <alignment horizontal="center" vertical="center"/>
    </xf>
    <xf numFmtId="0" fontId="5" fillId="2" borderId="11" xfId="2" applyFont="1" applyFill="1" applyBorder="1" applyAlignment="1">
      <alignment horizontal="center" vertical="center"/>
    </xf>
    <xf numFmtId="0" fontId="3" fillId="3" borderId="4" xfId="2" applyFill="1" applyBorder="1" applyAlignment="1">
      <alignment horizontal="left" vertical="center"/>
    </xf>
    <xf numFmtId="170" fontId="5" fillId="2" borderId="12" xfId="2" applyNumberFormat="1" applyFont="1" applyFill="1" applyBorder="1" applyAlignment="1">
      <alignment horizontal="center" vertical="center"/>
    </xf>
    <xf numFmtId="167" fontId="0" fillId="2" borderId="0" xfId="0" applyNumberFormat="1" applyFill="1"/>
    <xf numFmtId="0" fontId="3" fillId="3" borderId="0" xfId="2" applyFill="1" applyAlignment="1">
      <alignment horizontal="left"/>
    </xf>
    <xf numFmtId="171" fontId="3" fillId="3" borderId="0" xfId="2" applyNumberFormat="1" applyFill="1" applyAlignment="1">
      <alignment horizontal="left"/>
    </xf>
    <xf numFmtId="0" fontId="12" fillId="3" borderId="0" xfId="2" applyFont="1" applyFill="1"/>
    <xf numFmtId="170" fontId="3" fillId="3" borderId="12" xfId="2" applyNumberFormat="1" applyFill="1" applyBorder="1" applyAlignment="1">
      <alignment horizontal="center" vertical="center"/>
    </xf>
    <xf numFmtId="167" fontId="4" fillId="0" borderId="2" xfId="2" applyNumberFormat="1" applyFont="1" applyBorder="1" applyAlignment="1">
      <alignment horizontal="center"/>
    </xf>
    <xf numFmtId="172" fontId="0" fillId="2" borderId="0" xfId="0" applyNumberFormat="1" applyFill="1"/>
    <xf numFmtId="172" fontId="4" fillId="0" borderId="11" xfId="2" applyNumberFormat="1" applyFont="1" applyBorder="1" applyAlignment="1">
      <alignment horizontal="center"/>
    </xf>
    <xf numFmtId="165" fontId="10" fillId="3" borderId="0" xfId="2" applyNumberFormat="1" applyFont="1" applyFill="1"/>
    <xf numFmtId="0" fontId="4" fillId="3" borderId="0" xfId="2" applyFont="1" applyFill="1" applyAlignment="1">
      <alignment horizontal="left" vertical="center" wrapText="1"/>
    </xf>
    <xf numFmtId="0" fontId="3" fillId="3" borderId="0" xfId="2" applyFill="1" applyAlignment="1">
      <alignment horizontal="left" vertical="center" wrapText="1"/>
    </xf>
    <xf numFmtId="0" fontId="4" fillId="3" borderId="0" xfId="2" applyFont="1" applyFill="1" applyAlignment="1">
      <alignment horizontal="left" vertical="top" wrapText="1"/>
    </xf>
    <xf numFmtId="173" fontId="4" fillId="3" borderId="0" xfId="2" applyNumberFormat="1" applyFont="1" applyFill="1" applyAlignment="1">
      <alignment horizontal="left" vertical="top" wrapText="1"/>
    </xf>
    <xf numFmtId="0" fontId="4" fillId="3" borderId="0" xfId="2" applyFont="1" applyFill="1" applyAlignment="1">
      <alignment horizontal="left" wrapText="1"/>
    </xf>
    <xf numFmtId="43" fontId="0" fillId="0" borderId="0" xfId="3" applyFont="1"/>
    <xf numFmtId="0" fontId="0" fillId="3" borderId="15" xfId="0" applyFill="1" applyBorder="1"/>
    <xf numFmtId="0" fontId="0" fillId="3" borderId="7" xfId="0" applyFill="1" applyBorder="1" applyAlignment="1">
      <alignment horizontal="center"/>
    </xf>
    <xf numFmtId="0" fontId="0" fillId="0" borderId="0" xfId="0" applyBorder="1"/>
    <xf numFmtId="0" fontId="0" fillId="3" borderId="0" xfId="0" applyFill="1" applyBorder="1"/>
    <xf numFmtId="0" fontId="0" fillId="4" borderId="16" xfId="0" applyFill="1" applyBorder="1"/>
    <xf numFmtId="167" fontId="3" fillId="0" borderId="0" xfId="2" applyNumberFormat="1"/>
  </cellXfs>
  <cellStyles count="4">
    <cellStyle name="Comma" xfId="3" builtinId="3"/>
    <cellStyle name="Normal" xfId="0" builtinId="0"/>
    <cellStyle name="Percent" xfId="1" builtinId="5"/>
    <cellStyle name="Standaard 2"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9050">
              <a:solidFill>
                <a:srgbClr val="FF0000"/>
              </a:solidFill>
            </a:ln>
          </c:spPr>
          <c:marker>
            <c:symbol val="circle"/>
            <c:size val="2"/>
            <c:spPr>
              <a:solidFill>
                <a:srgbClr val="FFFFFF"/>
              </a:solidFill>
              <a:ln w="19050">
                <a:solidFill>
                  <a:srgbClr val="FF0000"/>
                </a:solidFill>
              </a:ln>
            </c:spPr>
          </c:marker>
          <c:xVal>
            <c:numRef>
              <c:f>'NACA profielen'!$C$9:$C$29</c:f>
              <c:numCache>
                <c:formatCode>0.000</c:formatCode>
                <c:ptCount val="21"/>
                <c:pt idx="0">
                  <c:v>0</c:v>
                </c:pt>
                <c:pt idx="1">
                  <c:v>3.0826662668720362E-3</c:v>
                </c:pt>
                <c:pt idx="2">
                  <c:v>1.231165940486223E-2</c:v>
                </c:pt>
                <c:pt idx="3">
                  <c:v>2.7630079602323443E-2</c:v>
                </c:pt>
                <c:pt idx="4">
                  <c:v>4.8943483704846469E-2</c:v>
                </c:pt>
                <c:pt idx="5">
                  <c:v>7.6120467488713262E-2</c:v>
                </c:pt>
                <c:pt idx="6">
                  <c:v>0.1089934758116321</c:v>
                </c:pt>
                <c:pt idx="7">
                  <c:v>0.14735983564590782</c:v>
                </c:pt>
                <c:pt idx="8">
                  <c:v>0.19098300562505255</c:v>
                </c:pt>
                <c:pt idx="9">
                  <c:v>0.23959403439996907</c:v>
                </c:pt>
                <c:pt idx="10">
                  <c:v>0.29289321881345243</c:v>
                </c:pt>
                <c:pt idx="11">
                  <c:v>0.35055195166981634</c:v>
                </c:pt>
                <c:pt idx="12">
                  <c:v>0.41221474770752686</c:v>
                </c:pt>
                <c:pt idx="13">
                  <c:v>0.47750143528405109</c:v>
                </c:pt>
                <c:pt idx="14">
                  <c:v>0.54600950026045325</c:v>
                </c:pt>
                <c:pt idx="15">
                  <c:v>0.61731656763491016</c:v>
                </c:pt>
                <c:pt idx="16">
                  <c:v>0.69098300562505255</c:v>
                </c:pt>
                <c:pt idx="17">
                  <c:v>0.76655463614409447</c:v>
                </c:pt>
                <c:pt idx="18">
                  <c:v>0.84356553495976905</c:v>
                </c:pt>
                <c:pt idx="19">
                  <c:v>0.92154090427215496</c:v>
                </c:pt>
                <c:pt idx="20">
                  <c:v>0.99999999999999989</c:v>
                </c:pt>
              </c:numCache>
            </c:numRef>
          </c:xVal>
          <c:yVal>
            <c:numRef>
              <c:f>'NACA profielen'!$D$9:$D$29</c:f>
              <c:numCache>
                <c:formatCode>0.000</c:formatCode>
                <c:ptCount val="21"/>
                <c:pt idx="0">
                  <c:v>0</c:v>
                </c:pt>
                <c:pt idx="1">
                  <c:v>6.9963314383719635E-3</c:v>
                </c:pt>
                <c:pt idx="2">
                  <c:v>1.4619685156292937E-2</c:v>
                </c:pt>
                <c:pt idx="3">
                  <c:v>2.1753865982775067E-2</c:v>
                </c:pt>
                <c:pt idx="4">
                  <c:v>2.8303664751005441E-2</c:v>
                </c:pt>
                <c:pt idx="5">
                  <c:v>3.4154024717866716E-2</c:v>
                </c:pt>
                <c:pt idx="6">
                  <c:v>3.9181394975129798E-2</c:v>
                </c:pt>
                <c:pt idx="7">
                  <c:v>4.3265992430820639E-2</c:v>
                </c:pt>
                <c:pt idx="8">
                  <c:v>4.6303582110312803E-2</c:v>
                </c:pt>
                <c:pt idx="9">
                  <c:v>4.8215426534321391E-2</c:v>
                </c:pt>
                <c:pt idx="10">
                  <c:v>4.8955246108112214E-2</c:v>
                </c:pt>
                <c:pt idx="11">
                  <c:v>4.8512355235137132E-2</c:v>
                </c:pt>
                <c:pt idx="12">
                  <c:v>4.6910560565994408E-2</c:v>
                </c:pt>
                <c:pt idx="13">
                  <c:v>4.4202884852944886E-2</c:v>
                </c:pt>
                <c:pt idx="14">
                  <c:v>4.0462662247362759E-2</c:v>
                </c:pt>
                <c:pt idx="15">
                  <c:v>3.5771987081442518E-2</c:v>
                </c:pt>
                <c:pt idx="16">
                  <c:v>3.0208840602498573E-2</c:v>
                </c:pt>
                <c:pt idx="17">
                  <c:v>2.3834429961971382E-2</c:v>
                </c:pt>
                <c:pt idx="18">
                  <c:v>1.6682325089480532E-2</c:v>
                </c:pt>
                <c:pt idx="19">
                  <c:v>8.7508617503790423E-3</c:v>
                </c:pt>
                <c:pt idx="20">
                  <c:v>6.9388939039072284E-18</c:v>
                </c:pt>
              </c:numCache>
            </c:numRef>
          </c:yVal>
          <c:smooth val="0"/>
          <c:extLst>
            <c:ext xmlns:c16="http://schemas.microsoft.com/office/drawing/2014/chart" uri="{C3380CC4-5D6E-409C-BE32-E72D297353CC}">
              <c16:uniqueId val="{00000000-85D5-445A-B88A-1E351434835F}"/>
            </c:ext>
          </c:extLst>
        </c:ser>
        <c:dLbls>
          <c:showLegendKey val="0"/>
          <c:showVal val="0"/>
          <c:showCatName val="0"/>
          <c:showSerName val="0"/>
          <c:showPercent val="0"/>
          <c:showBubbleSize val="0"/>
        </c:dLbls>
        <c:axId val="106947712"/>
        <c:axId val="106949248"/>
      </c:scatterChart>
      <c:valAx>
        <c:axId val="106947712"/>
        <c:scaling>
          <c:orientation val="minMax"/>
          <c:max val="1.05"/>
          <c:min val="-0.05"/>
        </c:scaling>
        <c:delete val="0"/>
        <c:axPos val="b"/>
        <c:majorGridlines>
          <c:spPr>
            <a:ln>
              <a:solidFill>
                <a:srgbClr val="C0C0C0"/>
              </a:solidFill>
              <a:prstDash val="dash"/>
            </a:ln>
          </c:spPr>
        </c:majorGridlines>
        <c:numFmt formatCode="0.000" sourceLinked="1"/>
        <c:majorTickMark val="none"/>
        <c:minorTickMark val="none"/>
        <c:tickLblPos val="none"/>
        <c:spPr>
          <a:solidFill>
            <a:srgbClr val="0000FF"/>
          </a:solidFill>
          <a:ln w="12700" cmpd="sng">
            <a:solidFill>
              <a:srgbClr val="0000FF"/>
            </a:solidFill>
          </a:ln>
        </c:spPr>
        <c:crossAx val="106949248"/>
        <c:crossesAt val="0"/>
        <c:crossBetween val="midCat"/>
        <c:majorUnit val="0.05"/>
      </c:valAx>
      <c:valAx>
        <c:axId val="106949248"/>
        <c:scaling>
          <c:orientation val="minMax"/>
          <c:max val="0.1"/>
          <c:min val="0"/>
        </c:scaling>
        <c:delete val="0"/>
        <c:axPos val="l"/>
        <c:majorGridlines>
          <c:spPr>
            <a:ln>
              <a:solidFill>
                <a:srgbClr val="C0C0C0"/>
              </a:solidFill>
              <a:prstDash val="dash"/>
            </a:ln>
          </c:spPr>
        </c:majorGridlines>
        <c:numFmt formatCode="0.000" sourceLinked="1"/>
        <c:majorTickMark val="none"/>
        <c:minorTickMark val="none"/>
        <c:tickLblPos val="none"/>
        <c:spPr>
          <a:ln>
            <a:noFill/>
            <a:prstDash val="solid"/>
          </a:ln>
        </c:spPr>
        <c:crossAx val="106947712"/>
        <c:crossesAt val="0"/>
        <c:crossBetween val="midCat"/>
        <c:majorUnit val="0.05"/>
      </c:valAx>
      <c:spPr>
        <a:solidFill>
          <a:srgbClr val="FFFFFF"/>
        </a:solidFill>
      </c:spPr>
    </c:plotArea>
    <c:plotVisOnly val="1"/>
    <c:dispBlanksAs val="gap"/>
    <c:showDLblsOverMax val="0"/>
  </c:chart>
  <c:spPr>
    <a:solidFill>
      <a:srgbClr val="FFFFFF"/>
    </a:solidFill>
    <a:ln w="19050">
      <a:solidFill>
        <a:srgbClr val="FF0000"/>
      </a:solidFill>
    </a:ln>
  </c:spPr>
  <c:printSettings>
    <c:headerFooter/>
    <c:pageMargins b="0.75000000000000278" l="0.70000000000000062" r="0.70000000000000062" t="0.7500000000000027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147206</xdr:colOff>
      <xdr:row>32</xdr:row>
      <xdr:rowOff>7696</xdr:rowOff>
    </xdr:from>
    <xdr:to>
      <xdr:col>15</xdr:col>
      <xdr:colOff>484909</xdr:colOff>
      <xdr:row>37</xdr:row>
      <xdr:rowOff>105834</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36</xdr:row>
      <xdr:rowOff>136072</xdr:rowOff>
    </xdr:from>
    <xdr:to>
      <xdr:col>4</xdr:col>
      <xdr:colOff>148167</xdr:colOff>
      <xdr:row>36</xdr:row>
      <xdr:rowOff>137583</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xdr:nvCxnSpPr>
      <xdr:spPr>
        <a:xfrm>
          <a:off x="609600" y="6825343"/>
          <a:ext cx="1454453" cy="1511"/>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146957</xdr:colOff>
      <xdr:row>34</xdr:row>
      <xdr:rowOff>43543</xdr:rowOff>
    </xdr:from>
    <xdr:to>
      <xdr:col>4</xdr:col>
      <xdr:colOff>146957</xdr:colOff>
      <xdr:row>36</xdr:row>
      <xdr:rowOff>119745</xdr:rowOff>
    </xdr:to>
    <xdr:cxnSp macro="">
      <xdr:nvCxnSpPr>
        <xdr:cNvPr id="7" name="Rechte verbindingslijn met pijl 6">
          <a:extLst>
            <a:ext uri="{FF2B5EF4-FFF2-40B4-BE49-F238E27FC236}">
              <a16:creationId xmlns:a16="http://schemas.microsoft.com/office/drawing/2014/main" id="{00000000-0008-0000-0100-000007000000}"/>
            </a:ext>
          </a:extLst>
        </xdr:cNvPr>
        <xdr:cNvCxnSpPr/>
      </xdr:nvCxnSpPr>
      <xdr:spPr>
        <a:xfrm flipV="1">
          <a:off x="2156732" y="8492218"/>
          <a:ext cx="0" cy="400052"/>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16329</xdr:colOff>
      <xdr:row>35</xdr:row>
      <xdr:rowOff>54429</xdr:rowOff>
    </xdr:from>
    <xdr:to>
      <xdr:col>3</xdr:col>
      <xdr:colOff>321129</xdr:colOff>
      <xdr:row>36</xdr:row>
      <xdr:rowOff>130630</xdr:rowOff>
    </xdr:to>
    <xdr:sp macro="" textlink="">
      <xdr:nvSpPr>
        <xdr:cNvPr id="10" name="Tekstvak 9">
          <a:extLst>
            <a:ext uri="{FF2B5EF4-FFF2-40B4-BE49-F238E27FC236}">
              <a16:creationId xmlns:a16="http://schemas.microsoft.com/office/drawing/2014/main" id="{00000000-0008-0000-0100-00000A000000}"/>
            </a:ext>
          </a:extLst>
        </xdr:cNvPr>
        <xdr:cNvSpPr txBox="1"/>
      </xdr:nvSpPr>
      <xdr:spPr>
        <a:xfrm>
          <a:off x="1322615" y="6580415"/>
          <a:ext cx="304800" cy="239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400">
              <a:latin typeface="Times New Roman" pitchFamily="18" charset="0"/>
              <a:cs typeface="Times New Roman" pitchFamily="18" charset="0"/>
            </a:rPr>
            <a:t>x</a:t>
          </a:r>
        </a:p>
      </xdr:txBody>
    </xdr:sp>
    <xdr:clientData/>
  </xdr:twoCellAnchor>
  <xdr:twoCellAnchor>
    <xdr:from>
      <xdr:col>4</xdr:col>
      <xdr:colOff>108858</xdr:colOff>
      <xdr:row>34</xdr:row>
      <xdr:rowOff>163285</xdr:rowOff>
    </xdr:from>
    <xdr:to>
      <xdr:col>4</xdr:col>
      <xdr:colOff>413658</xdr:colOff>
      <xdr:row>36</xdr:row>
      <xdr:rowOff>114299</xdr:rowOff>
    </xdr:to>
    <xdr:sp macro="" textlink="">
      <xdr:nvSpPr>
        <xdr:cNvPr id="11" name="Tekstvak 10">
          <a:extLst>
            <a:ext uri="{FF2B5EF4-FFF2-40B4-BE49-F238E27FC236}">
              <a16:creationId xmlns:a16="http://schemas.microsoft.com/office/drawing/2014/main" id="{00000000-0008-0000-0100-00000B000000}"/>
            </a:ext>
          </a:extLst>
        </xdr:cNvPr>
        <xdr:cNvSpPr txBox="1"/>
      </xdr:nvSpPr>
      <xdr:spPr>
        <a:xfrm>
          <a:off x="2024744" y="6525985"/>
          <a:ext cx="304800" cy="277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400">
              <a:latin typeface="Times New Roman" pitchFamily="18" charset="0"/>
              <a:cs typeface="Times New Roman" pitchFamily="18" charset="0"/>
            </a:rPr>
            <a:t>y</a:t>
          </a:r>
        </a:p>
      </xdr:txBody>
    </xdr:sp>
    <xdr:clientData/>
  </xdr:twoCellAnchor>
  <xdr:twoCellAnchor>
    <xdr:from>
      <xdr:col>14</xdr:col>
      <xdr:colOff>1470</xdr:colOff>
      <xdr:row>34</xdr:row>
      <xdr:rowOff>149573</xdr:rowOff>
    </xdr:from>
    <xdr:to>
      <xdr:col>14</xdr:col>
      <xdr:colOff>3697</xdr:colOff>
      <xdr:row>36</xdr:row>
      <xdr:rowOff>12940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xdr:nvCxnSpPr>
      <xdr:spPr>
        <a:xfrm>
          <a:off x="7049970" y="8596271"/>
          <a:ext cx="2227" cy="18685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6279</xdr:colOff>
      <xdr:row>36</xdr:row>
      <xdr:rowOff>114302</xdr:rowOff>
    </xdr:from>
    <xdr:to>
      <xdr:col>14</xdr:col>
      <xdr:colOff>6280</xdr:colOff>
      <xdr:row>37</xdr:row>
      <xdr:rowOff>108238</xdr:rowOff>
    </xdr:to>
    <xdr:cxnSp macro="">
      <xdr:nvCxnSpPr>
        <xdr:cNvPr id="13" name="Rechte verbindingslijn met pijl 12">
          <a:extLst>
            <a:ext uri="{FF2B5EF4-FFF2-40B4-BE49-F238E27FC236}">
              <a16:creationId xmlns:a16="http://schemas.microsoft.com/office/drawing/2014/main" id="{00000000-0008-0000-0100-00000D000000}"/>
            </a:ext>
          </a:extLst>
        </xdr:cNvPr>
        <xdr:cNvCxnSpPr/>
      </xdr:nvCxnSpPr>
      <xdr:spPr>
        <a:xfrm flipV="1">
          <a:off x="7054779" y="8884491"/>
          <a:ext cx="1" cy="155681"/>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3594</xdr:colOff>
      <xdr:row>34</xdr:row>
      <xdr:rowOff>112569</xdr:rowOff>
    </xdr:from>
    <xdr:to>
      <xdr:col>14</xdr:col>
      <xdr:colOff>774990</xdr:colOff>
      <xdr:row>34</xdr:row>
      <xdr:rowOff>118613</xdr:rowOff>
    </xdr:to>
    <xdr:cxnSp macro="">
      <xdr:nvCxnSpPr>
        <xdr:cNvPr id="21" name="Rechte verbindingslijn met pijl 20">
          <a:extLst>
            <a:ext uri="{FF2B5EF4-FFF2-40B4-BE49-F238E27FC236}">
              <a16:creationId xmlns:a16="http://schemas.microsoft.com/office/drawing/2014/main" id="{00000000-0008-0000-0100-000015000000}"/>
            </a:ext>
          </a:extLst>
        </xdr:cNvPr>
        <xdr:cNvCxnSpPr/>
      </xdr:nvCxnSpPr>
      <xdr:spPr>
        <a:xfrm flipH="1">
          <a:off x="7052094" y="8559267"/>
          <a:ext cx="771396" cy="6044"/>
        </a:xfrm>
        <a:prstGeom prst="straightConnector1">
          <a:avLst/>
        </a:prstGeom>
        <a:ln w="285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460044</xdr:colOff>
      <xdr:row>35</xdr:row>
      <xdr:rowOff>50143</xdr:rowOff>
    </xdr:from>
    <xdr:to>
      <xdr:col>14</xdr:col>
      <xdr:colOff>47119</xdr:colOff>
      <xdr:row>37</xdr:row>
      <xdr:rowOff>1157</xdr:rowOff>
    </xdr:to>
    <xdr:sp macro="" textlink="">
      <xdr:nvSpPr>
        <xdr:cNvPr id="25" name="Tekstvak 24">
          <a:extLst>
            <a:ext uri="{FF2B5EF4-FFF2-40B4-BE49-F238E27FC236}">
              <a16:creationId xmlns:a16="http://schemas.microsoft.com/office/drawing/2014/main" id="{00000000-0008-0000-0100-000019000000}"/>
            </a:ext>
          </a:extLst>
        </xdr:cNvPr>
        <xdr:cNvSpPr txBox="1"/>
      </xdr:nvSpPr>
      <xdr:spPr>
        <a:xfrm>
          <a:off x="6793270" y="8658586"/>
          <a:ext cx="302349" cy="274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400">
              <a:latin typeface="Times New Roman" pitchFamily="18" charset="0"/>
              <a:cs typeface="Times New Roman" pitchFamily="18" charset="0"/>
            </a:rPr>
            <a:t>d</a:t>
          </a:r>
        </a:p>
      </xdr:txBody>
    </xdr:sp>
    <xdr:clientData/>
  </xdr:twoCellAnchor>
  <xdr:twoCellAnchor>
    <xdr:from>
      <xdr:col>14</xdr:col>
      <xdr:colOff>359973</xdr:colOff>
      <xdr:row>32</xdr:row>
      <xdr:rowOff>145965</xdr:rowOff>
    </xdr:from>
    <xdr:to>
      <xdr:col>14</xdr:col>
      <xdr:colOff>664773</xdr:colOff>
      <xdr:row>34</xdr:row>
      <xdr:rowOff>96979</xdr:rowOff>
    </xdr:to>
    <xdr:sp macro="" textlink="">
      <xdr:nvSpPr>
        <xdr:cNvPr id="26" name="Tekstvak 25">
          <a:extLst>
            <a:ext uri="{FF2B5EF4-FFF2-40B4-BE49-F238E27FC236}">
              <a16:creationId xmlns:a16="http://schemas.microsoft.com/office/drawing/2014/main" id="{00000000-0008-0000-0100-00001A000000}"/>
            </a:ext>
          </a:extLst>
        </xdr:cNvPr>
        <xdr:cNvSpPr txBox="1"/>
      </xdr:nvSpPr>
      <xdr:spPr>
        <a:xfrm>
          <a:off x="7417132" y="8263863"/>
          <a:ext cx="304800" cy="271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400">
              <a:latin typeface="Times New Roman" pitchFamily="18" charset="0"/>
              <a:cs typeface="Times New Roman" pitchFamily="18" charset="0"/>
            </a:rPr>
            <a:t>a</a:t>
          </a:r>
        </a:p>
      </xdr:txBody>
    </xdr:sp>
    <xdr:clientData/>
  </xdr:twoCellAnchor>
  <xdr:twoCellAnchor>
    <xdr:from>
      <xdr:col>13</xdr:col>
      <xdr:colOff>74093</xdr:colOff>
      <xdr:row>35</xdr:row>
      <xdr:rowOff>35371</xdr:rowOff>
    </xdr:from>
    <xdr:to>
      <xdr:col>14</xdr:col>
      <xdr:colOff>3595</xdr:colOff>
      <xdr:row>37</xdr:row>
      <xdr:rowOff>75481</xdr:rowOff>
    </xdr:to>
    <xdr:cxnSp macro="">
      <xdr:nvCxnSpPr>
        <xdr:cNvPr id="27" name="Rechte verbindingslijn met pijl 26">
          <a:extLst>
            <a:ext uri="{FF2B5EF4-FFF2-40B4-BE49-F238E27FC236}">
              <a16:creationId xmlns:a16="http://schemas.microsoft.com/office/drawing/2014/main" id="{00000000-0008-0000-0100-00001B000000}"/>
            </a:ext>
          </a:extLst>
        </xdr:cNvPr>
        <xdr:cNvCxnSpPr/>
      </xdr:nvCxnSpPr>
      <xdr:spPr>
        <a:xfrm flipH="1" flipV="1">
          <a:off x="7047112" y="8643814"/>
          <a:ext cx="4983" cy="363601"/>
        </a:xfrm>
        <a:prstGeom prst="straightConnector1">
          <a:avLst/>
        </a:prstGeom>
        <a:ln w="2222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4"/>
  <sheetViews>
    <sheetView tabSelected="1" topLeftCell="B25" workbookViewId="0">
      <selection activeCell="B44" sqref="B44"/>
    </sheetView>
  </sheetViews>
  <sheetFormatPr defaultRowHeight="15" x14ac:dyDescent="0.25"/>
  <cols>
    <col min="1" max="1" width="3.140625" customWidth="1"/>
    <col min="2" max="2" width="52" customWidth="1"/>
    <col min="3" max="4" width="11.140625" customWidth="1"/>
    <col min="5" max="7" width="15.42578125" customWidth="1"/>
    <col min="8" max="8" width="5.42578125" customWidth="1"/>
    <col min="9" max="9" width="115" customWidth="1"/>
  </cols>
  <sheetData>
    <row r="1" spans="1:17" x14ac:dyDescent="0.25">
      <c r="B1" t="s">
        <v>45</v>
      </c>
    </row>
    <row r="2" spans="1:17" x14ac:dyDescent="0.25">
      <c r="A2" s="18"/>
      <c r="B2" s="18" t="s">
        <v>36</v>
      </c>
      <c r="C2" s="18"/>
      <c r="D2" s="18"/>
      <c r="E2" s="18"/>
      <c r="F2" s="18"/>
      <c r="G2" s="18"/>
      <c r="H2" s="18"/>
      <c r="I2" s="18"/>
    </row>
    <row r="3" spans="1:17" x14ac:dyDescent="0.25">
      <c r="A3" s="18"/>
      <c r="B3" s="18"/>
      <c r="C3" s="18"/>
      <c r="D3" s="18"/>
      <c r="E3" s="18"/>
      <c r="F3" s="18"/>
      <c r="G3" s="18"/>
      <c r="H3" s="18"/>
      <c r="I3" s="18"/>
    </row>
    <row r="4" spans="1:17" x14ac:dyDescent="0.25">
      <c r="A4" s="18"/>
      <c r="B4" s="19" t="s">
        <v>46</v>
      </c>
      <c r="C4" s="19"/>
      <c r="D4" s="83" t="s">
        <v>53</v>
      </c>
      <c r="E4" s="84" t="s">
        <v>60</v>
      </c>
      <c r="F4" s="84" t="s">
        <v>64</v>
      </c>
      <c r="G4" s="84" t="s">
        <v>65</v>
      </c>
      <c r="H4" s="18"/>
      <c r="I4" s="18"/>
    </row>
    <row r="5" spans="1:17" x14ac:dyDescent="0.25">
      <c r="A5" s="18"/>
      <c r="B5" s="16" t="s">
        <v>22</v>
      </c>
      <c r="C5" s="16"/>
      <c r="D5" s="18"/>
      <c r="E5" s="18"/>
      <c r="F5" s="18"/>
      <c r="G5" s="18"/>
      <c r="H5" s="18"/>
      <c r="I5" s="18"/>
    </row>
    <row r="6" spans="1:17" x14ac:dyDescent="0.25">
      <c r="A6" s="18"/>
      <c r="B6" s="18"/>
      <c r="C6" s="18"/>
      <c r="D6" s="18"/>
      <c r="E6" s="18"/>
      <c r="F6" s="18"/>
      <c r="G6" s="18"/>
      <c r="H6" s="18"/>
      <c r="I6" s="18"/>
    </row>
    <row r="7" spans="1:17" x14ac:dyDescent="0.25">
      <c r="A7" s="18"/>
      <c r="B7" s="18" t="s">
        <v>32</v>
      </c>
      <c r="C7" s="18" t="s">
        <v>0</v>
      </c>
      <c r="D7" s="14">
        <v>30</v>
      </c>
      <c r="E7" s="14">
        <v>30</v>
      </c>
      <c r="F7" s="14">
        <v>30</v>
      </c>
      <c r="G7" s="14">
        <v>30</v>
      </c>
      <c r="H7" s="18"/>
      <c r="I7" s="18"/>
    </row>
    <row r="8" spans="1:17" x14ac:dyDescent="0.25">
      <c r="A8" s="18"/>
      <c r="B8" s="18" t="s">
        <v>33</v>
      </c>
      <c r="C8" s="18" t="s">
        <v>0</v>
      </c>
      <c r="D8" s="15">
        <v>40</v>
      </c>
      <c r="E8" s="15">
        <v>40</v>
      </c>
      <c r="F8" s="15">
        <v>40</v>
      </c>
      <c r="G8" s="15">
        <v>40</v>
      </c>
      <c r="H8" s="18"/>
      <c r="I8" s="18"/>
    </row>
    <row r="9" spans="1:17" x14ac:dyDescent="0.25">
      <c r="A9" s="18"/>
      <c r="B9" s="18" t="s">
        <v>31</v>
      </c>
      <c r="C9" s="18" t="s">
        <v>0</v>
      </c>
      <c r="D9" s="18">
        <f>SUM(D7:D8)</f>
        <v>70</v>
      </c>
      <c r="E9" s="18">
        <f>SUM(E7:E8)</f>
        <v>70</v>
      </c>
      <c r="F9" s="18">
        <f>SUM(F7:F8)</f>
        <v>70</v>
      </c>
      <c r="G9" s="18">
        <f>SUM(G7:G8)</f>
        <v>70</v>
      </c>
      <c r="H9" s="18"/>
      <c r="I9" s="18"/>
    </row>
    <row r="10" spans="1:17" x14ac:dyDescent="0.25">
      <c r="A10" s="18"/>
      <c r="B10" s="18"/>
      <c r="C10" s="18"/>
      <c r="D10" s="18"/>
      <c r="E10" s="18"/>
      <c r="F10" s="18"/>
      <c r="G10" s="18"/>
      <c r="H10" s="18"/>
      <c r="I10" s="18"/>
    </row>
    <row r="11" spans="1:17" x14ac:dyDescent="0.25">
      <c r="A11" s="18"/>
      <c r="B11" s="18" t="s">
        <v>20</v>
      </c>
      <c r="C11" s="18"/>
      <c r="D11" s="54">
        <v>1.4E-2</v>
      </c>
      <c r="E11" s="54">
        <v>1.4E-2</v>
      </c>
      <c r="F11" s="54">
        <v>1.4E-2</v>
      </c>
      <c r="G11" s="54">
        <v>1.4E-2</v>
      </c>
      <c r="H11" s="18"/>
      <c r="I11" s="20" t="s">
        <v>44</v>
      </c>
    </row>
    <row r="12" spans="1:17" x14ac:dyDescent="0.25">
      <c r="A12" s="18"/>
      <c r="B12" s="18" t="s">
        <v>21</v>
      </c>
      <c r="C12" s="18" t="s">
        <v>0</v>
      </c>
      <c r="D12" s="53">
        <f>D11*D9</f>
        <v>0.98</v>
      </c>
      <c r="E12" s="53">
        <f>E11*E9</f>
        <v>0.98</v>
      </c>
      <c r="F12" s="53">
        <f>F11*F9</f>
        <v>0.98</v>
      </c>
      <c r="G12" s="53">
        <f>G11*G9</f>
        <v>0.98</v>
      </c>
      <c r="H12" s="18"/>
      <c r="I12" s="18"/>
    </row>
    <row r="13" spans="1:17" x14ac:dyDescent="0.25">
      <c r="A13" s="18"/>
      <c r="B13" s="18" t="s">
        <v>7</v>
      </c>
      <c r="C13" s="18" t="s">
        <v>0</v>
      </c>
      <c r="D13" s="52">
        <f>D35</f>
        <v>1.0027200000000001</v>
      </c>
      <c r="E13" s="52">
        <f>E35</f>
        <v>1.17</v>
      </c>
      <c r="F13" s="52">
        <f>F35</f>
        <v>1.221598</v>
      </c>
      <c r="G13" s="52">
        <f>G35</f>
        <v>1.172663</v>
      </c>
      <c r="H13" s="18"/>
      <c r="I13" s="20" t="s">
        <v>25</v>
      </c>
    </row>
    <row r="14" spans="1:17" x14ac:dyDescent="0.25">
      <c r="A14" s="18"/>
      <c r="B14" s="18" t="s">
        <v>8</v>
      </c>
      <c r="C14" s="18"/>
      <c r="D14" s="17">
        <v>0.17</v>
      </c>
      <c r="E14" s="17">
        <v>0.17</v>
      </c>
      <c r="F14" s="17">
        <v>0.17</v>
      </c>
      <c r="G14" s="17">
        <v>0.17</v>
      </c>
      <c r="H14" s="18"/>
      <c r="I14" s="20" t="s">
        <v>42</v>
      </c>
    </row>
    <row r="15" spans="1:17" x14ac:dyDescent="0.25">
      <c r="A15" s="18"/>
      <c r="B15" s="18" t="s">
        <v>34</v>
      </c>
      <c r="C15" s="18" t="s">
        <v>0</v>
      </c>
      <c r="D15" s="53">
        <f>D14*D13</f>
        <v>0.17046240000000001</v>
      </c>
      <c r="E15" s="53">
        <f>E14*E13</f>
        <v>0.19889999999999999</v>
      </c>
      <c r="F15" s="53">
        <f>F14*F13</f>
        <v>0.20767166000000001</v>
      </c>
      <c r="G15" s="53">
        <f>G14*G13</f>
        <v>0.19935271000000002</v>
      </c>
      <c r="H15" s="18"/>
      <c r="I15" s="20" t="s">
        <v>41</v>
      </c>
      <c r="Q15" s="1"/>
    </row>
    <row r="16" spans="1:17" x14ac:dyDescent="0.25">
      <c r="A16" s="18"/>
      <c r="B16" s="18"/>
      <c r="C16" s="18"/>
      <c r="D16" s="18"/>
      <c r="E16" s="18"/>
      <c r="F16" s="18"/>
      <c r="G16" s="18"/>
      <c r="H16" s="18"/>
      <c r="I16" s="18"/>
      <c r="Q16" s="1"/>
    </row>
    <row r="17" spans="1:17" x14ac:dyDescent="0.25">
      <c r="A17" s="18"/>
      <c r="B17" s="21" t="s">
        <v>1</v>
      </c>
      <c r="C17" s="18" t="s">
        <v>2</v>
      </c>
      <c r="D17" s="68">
        <v>40</v>
      </c>
      <c r="E17" s="68">
        <v>40</v>
      </c>
      <c r="F17" s="68">
        <v>40</v>
      </c>
      <c r="G17" s="68">
        <v>40</v>
      </c>
      <c r="H17" s="18"/>
      <c r="I17" s="20" t="s">
        <v>24</v>
      </c>
    </row>
    <row r="18" spans="1:17" x14ac:dyDescent="0.25">
      <c r="A18" s="18"/>
      <c r="B18" s="18"/>
      <c r="C18" s="18"/>
      <c r="D18" s="18"/>
      <c r="E18" s="18"/>
      <c r="F18" s="18"/>
      <c r="G18" s="18"/>
      <c r="H18" s="18"/>
      <c r="I18" s="18"/>
      <c r="Q18" s="1"/>
    </row>
    <row r="19" spans="1:17" x14ac:dyDescent="0.25">
      <c r="A19" s="18"/>
      <c r="B19" s="21" t="s">
        <v>4</v>
      </c>
      <c r="C19" s="18" t="s">
        <v>0</v>
      </c>
      <c r="D19" s="52">
        <f>D13</f>
        <v>1.0027200000000001</v>
      </c>
      <c r="E19" s="52">
        <f t="shared" ref="E19:G19" si="0">E13</f>
        <v>1.17</v>
      </c>
      <c r="F19" s="52">
        <f t="shared" ref="F19" si="1">F13</f>
        <v>1.221598</v>
      </c>
      <c r="G19" s="52">
        <f t="shared" si="0"/>
        <v>1.172663</v>
      </c>
      <c r="H19" s="18"/>
      <c r="I19" s="20" t="s">
        <v>26</v>
      </c>
    </row>
    <row r="20" spans="1:17" x14ac:dyDescent="0.25">
      <c r="A20" s="18"/>
      <c r="B20" s="18" t="s">
        <v>5</v>
      </c>
      <c r="C20" s="18"/>
      <c r="D20" s="22">
        <f>D19/D9</f>
        <v>1.432457142857143E-2</v>
      </c>
      <c r="E20" s="22">
        <f>E19/E9</f>
        <v>1.6714285714285713E-2</v>
      </c>
      <c r="F20" s="22">
        <f>F19/F9</f>
        <v>1.7451399999999999E-2</v>
      </c>
      <c r="G20" s="22">
        <f>G19/G9</f>
        <v>1.6752328571428571E-2</v>
      </c>
      <c r="H20" s="18"/>
      <c r="I20" s="20" t="s">
        <v>27</v>
      </c>
      <c r="K20" s="4"/>
    </row>
    <row r="21" spans="1:17" x14ac:dyDescent="0.25">
      <c r="A21" s="18"/>
      <c r="B21" s="18" t="s">
        <v>3</v>
      </c>
      <c r="C21" s="18" t="s">
        <v>0</v>
      </c>
      <c r="D21" s="52">
        <f>D36</f>
        <v>8.5125000000000006E-2</v>
      </c>
      <c r="E21" s="52">
        <f t="shared" ref="E21:G21" si="2">E36</f>
        <v>6.4212199999999997E-2</v>
      </c>
      <c r="F21" s="52">
        <f t="shared" ref="F21" si="3">F36</f>
        <v>0.112439</v>
      </c>
      <c r="G21" s="52">
        <f t="shared" si="2"/>
        <v>6.4212199999999997E-2</v>
      </c>
      <c r="H21" s="18"/>
      <c r="I21" s="20" t="s">
        <v>26</v>
      </c>
      <c r="K21" s="2"/>
    </row>
    <row r="22" spans="1:17" x14ac:dyDescent="0.25">
      <c r="A22" s="18"/>
      <c r="B22" s="18" t="s">
        <v>6</v>
      </c>
      <c r="C22" s="18"/>
      <c r="D22" s="23">
        <f>D21/D19</f>
        <v>8.4894088080421259E-2</v>
      </c>
      <c r="E22" s="23">
        <f>E21/E19</f>
        <v>5.4882222222222221E-2</v>
      </c>
      <c r="F22" s="23">
        <f>F21/F19</f>
        <v>9.2042554097174364E-2</v>
      </c>
      <c r="G22" s="23">
        <f>G21/G19</f>
        <v>5.4757590202811887E-2</v>
      </c>
      <c r="H22" s="18"/>
      <c r="I22" s="20" t="s">
        <v>28</v>
      </c>
      <c r="K22" s="4"/>
    </row>
    <row r="23" spans="1:17" x14ac:dyDescent="0.25">
      <c r="A23" s="18"/>
      <c r="B23" s="18"/>
      <c r="C23" s="18"/>
      <c r="D23" s="23"/>
      <c r="E23" s="23"/>
      <c r="F23" s="23"/>
      <c r="G23" s="23"/>
      <c r="H23" s="18"/>
      <c r="I23" s="20"/>
      <c r="K23" s="3"/>
    </row>
    <row r="24" spans="1:17" x14ac:dyDescent="0.25">
      <c r="A24" s="18"/>
      <c r="B24" s="18" t="s">
        <v>16</v>
      </c>
      <c r="C24" s="18" t="s">
        <v>2</v>
      </c>
      <c r="D24" s="16">
        <v>40</v>
      </c>
      <c r="E24" s="16">
        <v>40</v>
      </c>
      <c r="F24" s="16">
        <v>40</v>
      </c>
      <c r="G24" s="16">
        <v>40</v>
      </c>
      <c r="H24" s="18"/>
      <c r="I24" s="20" t="s">
        <v>52</v>
      </c>
      <c r="K24" s="3"/>
    </row>
    <row r="25" spans="1:17" x14ac:dyDescent="0.25">
      <c r="A25" s="18"/>
      <c r="B25" s="18" t="s">
        <v>13</v>
      </c>
      <c r="C25" s="18" t="s">
        <v>2</v>
      </c>
      <c r="D25" s="16">
        <f>+D33*1000</f>
        <v>829</v>
      </c>
      <c r="E25" s="16">
        <f t="shared" ref="E25:G25" si="4">+E33*1000</f>
        <v>766</v>
      </c>
      <c r="F25" s="16">
        <f t="shared" ref="F25" si="5">+F33*1000</f>
        <v>840</v>
      </c>
      <c r="G25" s="16">
        <f t="shared" si="4"/>
        <v>757</v>
      </c>
      <c r="H25" s="18"/>
      <c r="I25" s="20" t="s">
        <v>29</v>
      </c>
    </row>
    <row r="26" spans="1:17" x14ac:dyDescent="0.25">
      <c r="A26" s="18"/>
      <c r="B26" s="18" t="s">
        <v>19</v>
      </c>
      <c r="C26" s="18"/>
      <c r="D26" s="24">
        <f>ROUND(100*(D24/(D25+10)),1)</f>
        <v>4.8</v>
      </c>
      <c r="E26" s="24">
        <f>ROUND(100*(E24/(E25+10)),1)</f>
        <v>5.2</v>
      </c>
      <c r="F26" s="24">
        <f>ROUND(100*(F24/(F25+10)),1)</f>
        <v>4.7</v>
      </c>
      <c r="G26" s="24">
        <f>ROUND(100*(G24/(G25+10)),1)</f>
        <v>5.2</v>
      </c>
      <c r="H26" s="18"/>
      <c r="I26" s="18"/>
    </row>
    <row r="27" spans="1:17" x14ac:dyDescent="0.25">
      <c r="A27" s="18"/>
      <c r="B27" s="18" t="s">
        <v>39</v>
      </c>
      <c r="C27" s="18"/>
      <c r="D27" s="74">
        <v>10</v>
      </c>
      <c r="E27" s="74">
        <v>15</v>
      </c>
      <c r="F27" s="74">
        <v>15</v>
      </c>
      <c r="G27" s="74">
        <v>15</v>
      </c>
      <c r="H27" s="18"/>
      <c r="I27" s="20" t="s">
        <v>30</v>
      </c>
    </row>
    <row r="28" spans="1:17" x14ac:dyDescent="0.25">
      <c r="A28" s="18"/>
      <c r="B28" s="18"/>
      <c r="C28" s="18"/>
      <c r="D28" s="18"/>
      <c r="E28" s="18"/>
      <c r="F28" s="18"/>
      <c r="G28" s="18"/>
      <c r="H28" s="18"/>
      <c r="I28" s="18"/>
    </row>
    <row r="29" spans="1:17" x14ac:dyDescent="0.25">
      <c r="D29" s="18"/>
      <c r="E29" s="18"/>
      <c r="F29" s="18"/>
      <c r="G29" s="18"/>
      <c r="H29" s="18"/>
    </row>
    <row r="30" spans="1:17" x14ac:dyDescent="0.25">
      <c r="B30" s="87" t="s">
        <v>54</v>
      </c>
      <c r="C30" s="87" t="s">
        <v>61</v>
      </c>
      <c r="D30" s="87">
        <v>1.27</v>
      </c>
      <c r="E30" s="87">
        <v>1.417</v>
      </c>
      <c r="F30" s="87">
        <v>1.417</v>
      </c>
      <c r="G30" s="87">
        <v>1.417</v>
      </c>
    </row>
    <row r="31" spans="1:17" x14ac:dyDescent="0.25">
      <c r="B31" s="85" t="s">
        <v>55</v>
      </c>
      <c r="C31" s="85" t="s">
        <v>61</v>
      </c>
      <c r="D31" s="85">
        <v>1.57</v>
      </c>
      <c r="E31" s="85">
        <v>1.8169999999999999</v>
      </c>
      <c r="F31" s="85">
        <v>1.8169999999999999</v>
      </c>
      <c r="G31" s="85">
        <v>1.8640000000000001</v>
      </c>
    </row>
    <row r="32" spans="1:17" x14ac:dyDescent="0.25">
      <c r="B32" s="87" t="s">
        <v>56</v>
      </c>
      <c r="C32" s="87" t="s">
        <v>61</v>
      </c>
      <c r="D32" s="87">
        <v>0.63</v>
      </c>
      <c r="E32" s="87">
        <v>0.68400000000000005</v>
      </c>
      <c r="F32" s="87">
        <v>0.76500000000000001</v>
      </c>
      <c r="G32" s="87">
        <v>0.76500000000000001</v>
      </c>
    </row>
    <row r="33" spans="2:7" x14ac:dyDescent="0.25">
      <c r="B33" s="85" t="s">
        <v>57</v>
      </c>
      <c r="C33" s="85" t="s">
        <v>61</v>
      </c>
      <c r="D33" s="85">
        <v>0.82899999999999996</v>
      </c>
      <c r="E33" s="85">
        <v>0.76600000000000001</v>
      </c>
      <c r="F33" s="85">
        <v>0.84</v>
      </c>
      <c r="G33" s="85">
        <v>0.75700000000000001</v>
      </c>
    </row>
    <row r="34" spans="2:7" x14ac:dyDescent="0.25">
      <c r="B34" s="87" t="s">
        <v>58</v>
      </c>
      <c r="C34" s="87" t="s">
        <v>61</v>
      </c>
      <c r="D34" s="87">
        <v>1.39</v>
      </c>
      <c r="E34" s="87">
        <v>1.64</v>
      </c>
      <c r="F34" s="87">
        <v>1.63</v>
      </c>
      <c r="G34" s="87">
        <v>1.64</v>
      </c>
    </row>
    <row r="35" spans="2:7" x14ac:dyDescent="0.25">
      <c r="B35" s="85" t="s">
        <v>62</v>
      </c>
      <c r="C35" s="86" t="s">
        <v>0</v>
      </c>
      <c r="D35" s="85">
        <v>1.0027200000000001</v>
      </c>
      <c r="E35" s="85">
        <v>1.17</v>
      </c>
      <c r="F35" s="85">
        <v>1.221598</v>
      </c>
      <c r="G35" s="85">
        <v>1.172663</v>
      </c>
    </row>
    <row r="36" spans="2:7" x14ac:dyDescent="0.25">
      <c r="B36" s="87" t="s">
        <v>63</v>
      </c>
      <c r="C36" s="87" t="s">
        <v>0</v>
      </c>
      <c r="D36" s="87">
        <v>8.5125000000000006E-2</v>
      </c>
      <c r="E36" s="87">
        <v>6.4212199999999997E-2</v>
      </c>
      <c r="F36" s="87">
        <v>0.112439</v>
      </c>
      <c r="G36" s="87">
        <v>6.4212199999999997E-2</v>
      </c>
    </row>
    <row r="38" spans="2:7" x14ac:dyDescent="0.25">
      <c r="B38" t="s">
        <v>59</v>
      </c>
      <c r="D38" s="82">
        <f>+(D34*D34)/D35</f>
        <v>1.9268589436732084</v>
      </c>
      <c r="E38" s="82">
        <f>+(E34*E34)/E35</f>
        <v>2.2988034188034185</v>
      </c>
      <c r="F38" s="82">
        <f>+(F34*F34)/F35</f>
        <v>2.1749380729176044</v>
      </c>
      <c r="G38" s="82">
        <f>+(G34*G34)/G35</f>
        <v>2.293583066916923</v>
      </c>
    </row>
    <row r="42" spans="2:7" x14ac:dyDescent="0.25">
      <c r="B42" t="s">
        <v>67</v>
      </c>
      <c r="C42" t="s">
        <v>2</v>
      </c>
      <c r="E42">
        <f>+(((E33+E32)/2)*0.35)*1000</f>
        <v>253.75000000000003</v>
      </c>
      <c r="F42">
        <f>+(((F33+F32)/2)*0.35)*1000</f>
        <v>280.875</v>
      </c>
      <c r="G42">
        <f>+(((G33+G32)/2)*0.35)*1000</f>
        <v>266.34999999999997</v>
      </c>
    </row>
    <row r="43" spans="2:7" x14ac:dyDescent="0.25">
      <c r="B43" t="s">
        <v>69</v>
      </c>
      <c r="C43" t="s">
        <v>2</v>
      </c>
      <c r="D43">
        <f>+(((D33+D32)/2)*0.5)*1000</f>
        <v>364.75</v>
      </c>
    </row>
    <row r="44" spans="2:7" x14ac:dyDescent="0.25">
      <c r="B44" t="s">
        <v>68</v>
      </c>
      <c r="C44" t="s">
        <v>2</v>
      </c>
      <c r="D44">
        <v>219.23</v>
      </c>
      <c r="E44">
        <v>183.7</v>
      </c>
      <c r="F44">
        <v>136.07</v>
      </c>
      <c r="G44">
        <v>183.7</v>
      </c>
    </row>
  </sheetData>
  <pageMargins left="0.7" right="0.7" top="0.75" bottom="0.75" header="0.3" footer="0.3"/>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65"/>
  <sheetViews>
    <sheetView zoomScale="90" zoomScaleNormal="90" workbookViewId="0">
      <selection activeCell="D7" sqref="D7"/>
    </sheetView>
  </sheetViews>
  <sheetFormatPr defaultRowHeight="12.75" x14ac:dyDescent="0.2"/>
  <cols>
    <col min="1" max="1" width="2.28515625" style="5" customWidth="1"/>
    <col min="2" max="2" width="6.85546875" style="5" customWidth="1"/>
    <col min="3" max="3" width="10.42578125" style="5" customWidth="1"/>
    <col min="4" max="4" width="10.5703125" style="5" customWidth="1"/>
    <col min="5" max="5" width="7" style="5" customWidth="1"/>
    <col min="6" max="6" width="12.28515625" style="5" customWidth="1"/>
    <col min="7" max="7" width="10" style="5" customWidth="1"/>
    <col min="8" max="8" width="1.28515625" style="5" customWidth="1"/>
    <col min="9" max="9" width="12.28515625" style="5" customWidth="1"/>
    <col min="10" max="10" width="10" style="5" customWidth="1"/>
    <col min="11" max="11" width="1.28515625" style="5" customWidth="1"/>
    <col min="12" max="12" width="12.140625" style="5" customWidth="1"/>
    <col min="13" max="13" width="10" style="5" customWidth="1"/>
    <col min="14" max="14" width="1.140625" style="5" customWidth="1"/>
    <col min="15" max="15" width="12.140625" style="5" customWidth="1"/>
    <col min="16" max="16" width="10" style="5" customWidth="1"/>
    <col min="17" max="17" width="6.5703125" style="5" bestFit="1" customWidth="1"/>
    <col min="18" max="19" width="9.140625" style="5"/>
    <col min="20" max="20" width="10.42578125" style="5" customWidth="1"/>
    <col min="21" max="21" width="9.140625" style="5"/>
    <col min="22" max="22" width="9.28515625" style="5" customWidth="1"/>
    <col min="23" max="24" width="18.42578125" style="5" bestFit="1" customWidth="1"/>
    <col min="25" max="25" width="17.42578125" style="5" customWidth="1"/>
    <col min="26" max="26" width="16.7109375" style="5" customWidth="1"/>
    <col min="27" max="16384" width="9.140625" style="5"/>
  </cols>
  <sheetData>
    <row r="1" spans="1:33" ht="15" customHeight="1" x14ac:dyDescent="0.2">
      <c r="A1" s="25"/>
      <c r="B1" s="25"/>
      <c r="C1" s="26" t="s">
        <v>12</v>
      </c>
      <c r="D1" s="25"/>
      <c r="E1" s="25"/>
      <c r="F1" s="25"/>
      <c r="G1" s="25"/>
      <c r="H1" s="25"/>
      <c r="I1" s="25"/>
      <c r="J1" s="25"/>
      <c r="K1" s="25"/>
      <c r="L1" s="25"/>
      <c r="M1" s="25"/>
      <c r="N1" s="25"/>
      <c r="O1" s="25"/>
      <c r="P1" s="25"/>
      <c r="Q1" s="25"/>
    </row>
    <row r="2" spans="1:33" ht="72" customHeight="1" thickBot="1" x14ac:dyDescent="0.25">
      <c r="A2" s="25"/>
      <c r="B2" s="25"/>
      <c r="C2" s="77" t="s">
        <v>40</v>
      </c>
      <c r="D2" s="78"/>
      <c r="E2" s="78"/>
      <c r="F2" s="78"/>
      <c r="G2" s="78"/>
      <c r="H2" s="78"/>
      <c r="I2" s="78"/>
      <c r="J2" s="78"/>
      <c r="K2" s="78"/>
      <c r="L2" s="78"/>
      <c r="M2" s="78"/>
      <c r="N2" s="78"/>
      <c r="O2" s="78"/>
      <c r="P2" s="78"/>
      <c r="Q2" s="25"/>
    </row>
    <row r="3" spans="1:33" ht="15.75" customHeight="1" thickBot="1" x14ac:dyDescent="0.25">
      <c r="A3" s="25"/>
      <c r="B3" s="25"/>
      <c r="D3" s="60"/>
      <c r="E3" s="60"/>
      <c r="F3" s="61" t="s">
        <v>37</v>
      </c>
      <c r="G3" s="67">
        <v>2</v>
      </c>
      <c r="H3" s="60"/>
      <c r="J3" s="61" t="s">
        <v>35</v>
      </c>
      <c r="K3" s="60"/>
      <c r="L3" s="72">
        <f>(G3/(D27-D29))*(C29-C27)</f>
        <v>18.754515836509462</v>
      </c>
      <c r="M3" s="60"/>
      <c r="N3" s="60"/>
      <c r="O3" s="60"/>
      <c r="P3" s="60"/>
      <c r="Q3" s="25"/>
    </row>
    <row r="4" spans="1:33" ht="13.5" thickBot="1" x14ac:dyDescent="0.25">
      <c r="A4" s="25"/>
      <c r="B4" s="25"/>
      <c r="C4" s="59"/>
      <c r="D4" s="60"/>
      <c r="E4" s="60"/>
      <c r="F4" s="60"/>
      <c r="G4" s="60"/>
      <c r="H4" s="60"/>
      <c r="I4" s="60"/>
      <c r="J4" s="60"/>
      <c r="K4" s="60"/>
      <c r="L4" s="60"/>
      <c r="M4" s="60"/>
      <c r="N4" s="60"/>
      <c r="O4" s="60"/>
      <c r="P4" s="60"/>
      <c r="Q4" s="25"/>
    </row>
    <row r="5" spans="1:33" ht="15.75" customHeight="1" x14ac:dyDescent="0.2">
      <c r="A5" s="25"/>
      <c r="B5" s="25"/>
      <c r="C5" s="59"/>
      <c r="D5" s="60"/>
      <c r="E5" s="60"/>
      <c r="F5" s="64" t="s">
        <v>38</v>
      </c>
      <c r="G5" s="65">
        <v>1</v>
      </c>
      <c r="H5" s="66"/>
      <c r="I5" s="64" t="s">
        <v>38</v>
      </c>
      <c r="J5" s="65">
        <v>2</v>
      </c>
      <c r="K5" s="66"/>
      <c r="L5" s="64" t="s">
        <v>38</v>
      </c>
      <c r="M5" s="65">
        <v>3</v>
      </c>
      <c r="N5" s="66"/>
      <c r="O5" s="64" t="s">
        <v>38</v>
      </c>
      <c r="P5" s="65">
        <v>4</v>
      </c>
      <c r="Q5" s="25"/>
    </row>
    <row r="6" spans="1:33" ht="16.5" thickBot="1" x14ac:dyDescent="0.3">
      <c r="A6" s="25"/>
      <c r="B6" s="25"/>
      <c r="C6" s="25"/>
      <c r="D6" s="25"/>
      <c r="E6" s="25"/>
      <c r="F6" s="30" t="s">
        <v>9</v>
      </c>
      <c r="G6" s="9">
        <v>766</v>
      </c>
      <c r="H6" s="31"/>
      <c r="I6" s="30" t="s">
        <v>9</v>
      </c>
      <c r="J6" s="9">
        <v>370</v>
      </c>
      <c r="K6" s="31"/>
      <c r="L6" s="30" t="s">
        <v>9</v>
      </c>
      <c r="M6" s="9">
        <v>360</v>
      </c>
      <c r="N6" s="31"/>
      <c r="O6" s="30" t="s">
        <v>9</v>
      </c>
      <c r="P6" s="9">
        <v>330</v>
      </c>
      <c r="Q6" s="25"/>
      <c r="S6" s="11"/>
      <c r="T6"/>
    </row>
    <row r="7" spans="1:33" ht="15.75" thickBot="1" x14ac:dyDescent="0.3">
      <c r="A7" s="25"/>
      <c r="B7" s="27">
        <f>D7/100</f>
        <v>0.1</v>
      </c>
      <c r="C7" s="28" t="s">
        <v>15</v>
      </c>
      <c r="D7" s="75">
        <f>'Roerblad parameters'!D27</f>
        <v>10</v>
      </c>
      <c r="E7" s="29"/>
      <c r="F7" s="46" t="s">
        <v>43</v>
      </c>
      <c r="G7" s="73">
        <f>G6+L3</f>
        <v>784.75451583650943</v>
      </c>
      <c r="I7" s="46" t="s">
        <v>43</v>
      </c>
      <c r="J7" s="73">
        <f>J6+L3</f>
        <v>388.75451583650948</v>
      </c>
      <c r="L7" s="46" t="s">
        <v>43</v>
      </c>
      <c r="M7" s="73">
        <f>M6+L3</f>
        <v>378.75451583650948</v>
      </c>
      <c r="O7" s="46" t="s">
        <v>43</v>
      </c>
      <c r="P7" s="73">
        <f>P6+L3</f>
        <v>348.75451583650948</v>
      </c>
      <c r="Q7" s="25"/>
      <c r="S7" s="12"/>
      <c r="T7"/>
    </row>
    <row r="8" spans="1:33" ht="15" x14ac:dyDescent="0.25">
      <c r="A8" s="25"/>
      <c r="B8" s="30" t="s">
        <v>14</v>
      </c>
      <c r="C8" s="32" t="s">
        <v>10</v>
      </c>
      <c r="D8" s="33" t="s">
        <v>11</v>
      </c>
      <c r="E8" s="29"/>
      <c r="F8" s="62" t="s">
        <v>17</v>
      </c>
      <c r="G8" s="63" t="s">
        <v>18</v>
      </c>
      <c r="H8" s="34"/>
      <c r="I8" s="62" t="s">
        <v>17</v>
      </c>
      <c r="J8" s="63" t="s">
        <v>18</v>
      </c>
      <c r="K8" s="34"/>
      <c r="L8" s="62" t="s">
        <v>17</v>
      </c>
      <c r="M8" s="63" t="s">
        <v>18</v>
      </c>
      <c r="N8" s="34"/>
      <c r="O8" s="62" t="s">
        <v>17</v>
      </c>
      <c r="P8" s="63" t="s">
        <v>18</v>
      </c>
      <c r="Q8" s="25"/>
      <c r="S8" s="8"/>
      <c r="T8" s="8"/>
      <c r="V8"/>
      <c r="W8" s="8"/>
    </row>
    <row r="9" spans="1:33" s="6" customFormat="1" x14ac:dyDescent="0.2">
      <c r="A9" s="35"/>
      <c r="B9" s="30">
        <v>1</v>
      </c>
      <c r="C9" s="36">
        <f t="shared" ref="C9:C29" si="0">1-COS(RADIANS((B9-1)*(90/(nrpoints-1))))</f>
        <v>0</v>
      </c>
      <c r="D9" s="37">
        <f t="shared" ref="D9" si="1">(naca/0.2)*((0.2969*(C9^0.5))-(0.126*C9)-(0.3516*(C9^2))+(0.2843*(C9^3))-(0.1015*(C9^4)))</f>
        <v>0</v>
      </c>
      <c r="E9" s="38"/>
      <c r="F9" s="39">
        <v>0</v>
      </c>
      <c r="G9" s="40">
        <v>0</v>
      </c>
      <c r="H9" s="41"/>
      <c r="I9" s="39">
        <v>0</v>
      </c>
      <c r="J9" s="40">
        <v>0</v>
      </c>
      <c r="K9" s="41"/>
      <c r="L9" s="39">
        <v>0</v>
      </c>
      <c r="M9" s="40">
        <v>0</v>
      </c>
      <c r="N9" s="41"/>
      <c r="O9" s="39">
        <v>0</v>
      </c>
      <c r="P9" s="40">
        <v>0</v>
      </c>
      <c r="Q9" s="35"/>
    </row>
    <row r="10" spans="1:33" x14ac:dyDescent="0.2">
      <c r="A10" s="25"/>
      <c r="B10" s="42">
        <f t="shared" ref="B10:B29" si="2">B9+1</f>
        <v>2</v>
      </c>
      <c r="C10" s="36">
        <f t="shared" si="0"/>
        <v>3.0826662668720362E-3</v>
      </c>
      <c r="D10" s="37">
        <f t="shared" ref="D10:D29" si="3">(naca/0.2)*((0.2969*(C10^0.5))-(0.126*C10)-(0.3516*(C10^2))+(0.2843*(C10^3))-(0.1015*(C10^4)))-$D$30</f>
        <v>6.9963314383719635E-3</v>
      </c>
      <c r="E10" s="29"/>
      <c r="F10" s="43">
        <f t="shared" ref="F10:F28" si="4">C10*_krd0</f>
        <v>2.4191362737447046</v>
      </c>
      <c r="G10" s="44">
        <f t="shared" ref="G10:G28" si="5">D10*_krd0</f>
        <v>5.4904026905513401</v>
      </c>
      <c r="H10" s="45"/>
      <c r="I10" s="39">
        <f t="shared" ref="I10:I29" si="6">C10*_krd1</f>
        <v>1.1984004320633785</v>
      </c>
      <c r="J10" s="44">
        <f t="shared" ref="J10:J29" si="7">D10*_krd1</f>
        <v>2.7198554409560427</v>
      </c>
      <c r="K10" s="45"/>
      <c r="L10" s="43">
        <f t="shared" ref="L10:L29" si="8">C10*_krd2</f>
        <v>1.1675737693946582</v>
      </c>
      <c r="M10" s="44">
        <f t="shared" ref="M10:M29" si="9">D10*_krd2</f>
        <v>2.6498921265723232</v>
      </c>
      <c r="N10" s="45"/>
      <c r="O10" s="43">
        <f t="shared" ref="O10:O29" si="10">C10*_krd3</f>
        <v>1.0750937813884971</v>
      </c>
      <c r="P10" s="44">
        <f t="shared" ref="P10:P29" si="11">D10*_krd3</f>
        <v>2.4400021834211643</v>
      </c>
      <c r="Q10" s="25"/>
      <c r="AC10" s="6"/>
      <c r="AD10" s="6"/>
      <c r="AE10" s="6"/>
      <c r="AF10" s="6"/>
      <c r="AG10" s="6"/>
    </row>
    <row r="11" spans="1:33" x14ac:dyDescent="0.2">
      <c r="A11" s="25"/>
      <c r="B11" s="30">
        <f t="shared" si="2"/>
        <v>3</v>
      </c>
      <c r="C11" s="36">
        <f t="shared" si="0"/>
        <v>1.231165940486223E-2</v>
      </c>
      <c r="D11" s="37">
        <f t="shared" si="3"/>
        <v>1.4619685156292937E-2</v>
      </c>
      <c r="E11" s="29"/>
      <c r="F11" s="43">
        <f t="shared" si="4"/>
        <v>9.6616303154066667</v>
      </c>
      <c r="G11" s="44">
        <f t="shared" si="5"/>
        <v>11.472863946508868</v>
      </c>
      <c r="H11" s="45"/>
      <c r="I11" s="39">
        <f t="shared" si="6"/>
        <v>4.7862131910812247</v>
      </c>
      <c r="J11" s="44">
        <f t="shared" si="7"/>
        <v>5.6834686246168653</v>
      </c>
      <c r="K11" s="45"/>
      <c r="L11" s="43">
        <f t="shared" si="8"/>
        <v>4.6630965970326024</v>
      </c>
      <c r="M11" s="44">
        <f t="shared" si="9"/>
        <v>5.537271773053936</v>
      </c>
      <c r="N11" s="45"/>
      <c r="O11" s="43">
        <f t="shared" si="10"/>
        <v>4.2937468148867355</v>
      </c>
      <c r="P11" s="44">
        <f t="shared" si="11"/>
        <v>5.0986812183651482</v>
      </c>
      <c r="Q11" s="25"/>
      <c r="AC11" s="6"/>
      <c r="AD11" s="6"/>
      <c r="AE11" s="6"/>
      <c r="AF11" s="6"/>
      <c r="AG11" s="6"/>
    </row>
    <row r="12" spans="1:33" x14ac:dyDescent="0.2">
      <c r="A12" s="25"/>
      <c r="B12" s="42">
        <f t="shared" si="2"/>
        <v>4</v>
      </c>
      <c r="C12" s="36">
        <f t="shared" si="0"/>
        <v>2.7630079602323443E-2</v>
      </c>
      <c r="D12" s="37">
        <f t="shared" si="3"/>
        <v>2.1753865982775067E-2</v>
      </c>
      <c r="E12" s="29"/>
      <c r="F12" s="43">
        <f t="shared" si="4"/>
        <v>21.682829740845548</v>
      </c>
      <c r="G12" s="44">
        <f t="shared" si="5"/>
        <v>17.07144456688496</v>
      </c>
      <c r="H12" s="45"/>
      <c r="I12" s="39">
        <f t="shared" si="6"/>
        <v>10.741318218325466</v>
      </c>
      <c r="J12" s="44">
        <f t="shared" si="7"/>
        <v>8.4569136377060339</v>
      </c>
      <c r="K12" s="45"/>
      <c r="L12" s="43">
        <f t="shared" si="8"/>
        <v>10.465017422302232</v>
      </c>
      <c r="M12" s="44">
        <f t="shared" si="9"/>
        <v>8.2393749778782848</v>
      </c>
      <c r="N12" s="45"/>
      <c r="O12" s="43">
        <f t="shared" si="10"/>
        <v>9.6361150342325281</v>
      </c>
      <c r="P12" s="44">
        <f t="shared" si="11"/>
        <v>7.5867589983950321</v>
      </c>
      <c r="Q12" s="25"/>
      <c r="AC12" s="6"/>
      <c r="AD12" s="6"/>
      <c r="AE12" s="6"/>
      <c r="AF12" s="6"/>
      <c r="AG12" s="6"/>
    </row>
    <row r="13" spans="1:33" x14ac:dyDescent="0.2">
      <c r="A13" s="25"/>
      <c r="B13" s="30">
        <f t="shared" si="2"/>
        <v>5</v>
      </c>
      <c r="C13" s="36">
        <f t="shared" si="0"/>
        <v>4.8943483704846469E-2</v>
      </c>
      <c r="D13" s="37">
        <f t="shared" si="3"/>
        <v>2.8303664751005441E-2</v>
      </c>
      <c r="E13" s="29"/>
      <c r="F13" s="43">
        <f t="shared" si="4"/>
        <v>38.408619858148882</v>
      </c>
      <c r="G13" s="44">
        <f t="shared" si="5"/>
        <v>22.211428728074154</v>
      </c>
      <c r="H13" s="45"/>
      <c r="I13" s="39">
        <f t="shared" si="6"/>
        <v>19.027000311029681</v>
      </c>
      <c r="J13" s="44">
        <f t="shared" si="7"/>
        <v>11.003177486676</v>
      </c>
      <c r="K13" s="45"/>
      <c r="L13" s="43">
        <f t="shared" si="8"/>
        <v>18.537565473981214</v>
      </c>
      <c r="M13" s="44">
        <f t="shared" si="9"/>
        <v>10.720140839165946</v>
      </c>
      <c r="N13" s="45"/>
      <c r="O13" s="43">
        <f t="shared" si="10"/>
        <v>17.069260962835823</v>
      </c>
      <c r="P13" s="44">
        <f t="shared" si="11"/>
        <v>9.8710308966357818</v>
      </c>
      <c r="Q13" s="35"/>
      <c r="AC13" s="6"/>
      <c r="AD13" s="6"/>
      <c r="AE13" s="6"/>
      <c r="AF13" s="6"/>
      <c r="AG13" s="6"/>
    </row>
    <row r="14" spans="1:33" x14ac:dyDescent="0.2">
      <c r="A14" s="25"/>
      <c r="B14" s="42">
        <f t="shared" si="2"/>
        <v>6</v>
      </c>
      <c r="C14" s="36">
        <f t="shared" si="0"/>
        <v>7.6120467488713262E-2</v>
      </c>
      <c r="D14" s="37">
        <f t="shared" si="3"/>
        <v>3.4154024717866716E-2</v>
      </c>
      <c r="E14" s="29"/>
      <c r="F14" s="43">
        <f t="shared" si="4"/>
        <v>59.735880609353934</v>
      </c>
      <c r="G14" s="44">
        <f t="shared" si="5"/>
        <v>26.802525131337671</v>
      </c>
      <c r="H14" s="45"/>
      <c r="I14" s="39">
        <f t="shared" si="6"/>
        <v>29.592175483823485</v>
      </c>
      <c r="J14" s="44">
        <f t="shared" si="7"/>
        <v>13.277531343062453</v>
      </c>
      <c r="K14" s="45"/>
      <c r="L14" s="43">
        <f t="shared" si="8"/>
        <v>28.830970808936353</v>
      </c>
      <c r="M14" s="44">
        <f t="shared" si="9"/>
        <v>12.935991095883786</v>
      </c>
      <c r="N14" s="45"/>
      <c r="O14" s="43">
        <f t="shared" si="10"/>
        <v>26.547356784274953</v>
      </c>
      <c r="P14" s="44">
        <f t="shared" si="11"/>
        <v>11.911370354347785</v>
      </c>
      <c r="Q14" s="25"/>
      <c r="AC14" s="6"/>
      <c r="AD14" s="6"/>
      <c r="AE14" s="6"/>
      <c r="AF14" s="6"/>
      <c r="AG14" s="6"/>
    </row>
    <row r="15" spans="1:33" x14ac:dyDescent="0.2">
      <c r="A15" s="25"/>
      <c r="B15" s="30">
        <f t="shared" si="2"/>
        <v>7</v>
      </c>
      <c r="C15" s="36">
        <f t="shared" si="0"/>
        <v>0.1089934758116321</v>
      </c>
      <c r="D15" s="37">
        <f t="shared" si="3"/>
        <v>3.9181394975129798E-2</v>
      </c>
      <c r="E15" s="29"/>
      <c r="F15" s="43">
        <f t="shared" si="4"/>
        <v>85.533122339895655</v>
      </c>
      <c r="G15" s="44">
        <f t="shared" si="5"/>
        <v>30.747776643507027</v>
      </c>
      <c r="H15" s="45"/>
      <c r="I15" s="39">
        <f t="shared" si="6"/>
        <v>42.371705918489347</v>
      </c>
      <c r="J15" s="44">
        <f t="shared" si="7"/>
        <v>15.23194423335563</v>
      </c>
      <c r="K15" s="45"/>
      <c r="L15" s="43">
        <f t="shared" si="8"/>
        <v>41.281771160373026</v>
      </c>
      <c r="M15" s="44">
        <f t="shared" si="9"/>
        <v>14.840130283604331</v>
      </c>
      <c r="N15" s="45"/>
      <c r="O15" s="43">
        <f t="shared" si="10"/>
        <v>38.011966886024062</v>
      </c>
      <c r="P15" s="44">
        <f t="shared" si="11"/>
        <v>13.664688434350438</v>
      </c>
      <c r="Q15" s="25"/>
      <c r="AC15" s="6"/>
      <c r="AD15" s="6"/>
      <c r="AE15" s="6"/>
      <c r="AF15" s="6"/>
      <c r="AG15" s="6"/>
    </row>
    <row r="16" spans="1:33" x14ac:dyDescent="0.2">
      <c r="A16" s="25"/>
      <c r="B16" s="42">
        <f t="shared" si="2"/>
        <v>8</v>
      </c>
      <c r="C16" s="36">
        <f t="shared" si="0"/>
        <v>0.14735983564590782</v>
      </c>
      <c r="D16" s="37">
        <f t="shared" si="3"/>
        <v>4.3265992430820639E-2</v>
      </c>
      <c r="E16" s="29"/>
      <c r="F16" s="43">
        <f t="shared" si="4"/>
        <v>115.64129647605199</v>
      </c>
      <c r="G16" s="44">
        <f t="shared" si="5"/>
        <v>33.953182942234733</v>
      </c>
      <c r="H16" s="45"/>
      <c r="I16" s="39">
        <f t="shared" si="6"/>
        <v>57.286801560272508</v>
      </c>
      <c r="J16" s="44">
        <f t="shared" si="7"/>
        <v>16.819849939629762</v>
      </c>
      <c r="K16" s="45"/>
      <c r="L16" s="43">
        <f t="shared" si="8"/>
        <v>55.81320320381343</v>
      </c>
      <c r="M16" s="44">
        <f t="shared" si="9"/>
        <v>16.387190015321554</v>
      </c>
      <c r="N16" s="45"/>
      <c r="O16" s="43">
        <f t="shared" si="10"/>
        <v>51.392408134436195</v>
      </c>
      <c r="P16" s="44">
        <f t="shared" si="11"/>
        <v>15.089210242396936</v>
      </c>
      <c r="Q16" s="25"/>
      <c r="AC16" s="6"/>
      <c r="AD16" s="6"/>
      <c r="AE16" s="6"/>
      <c r="AF16" s="6"/>
      <c r="AG16" s="6"/>
    </row>
    <row r="17" spans="1:33" x14ac:dyDescent="0.2">
      <c r="A17" s="25"/>
      <c r="B17" s="30">
        <f t="shared" si="2"/>
        <v>9</v>
      </c>
      <c r="C17" s="36">
        <f t="shared" si="0"/>
        <v>0.19098300562505255</v>
      </c>
      <c r="D17" s="37">
        <f t="shared" si="3"/>
        <v>4.6303582110312803E-2</v>
      </c>
      <c r="E17" s="29"/>
      <c r="F17" s="43">
        <f t="shared" si="4"/>
        <v>149.87477611228948</v>
      </c>
      <c r="G17" s="44">
        <f t="shared" si="5"/>
        <v>36.336945160474585</v>
      </c>
      <c r="H17" s="45"/>
      <c r="I17" s="39">
        <f t="shared" si="6"/>
        <v>74.245505884768676</v>
      </c>
      <c r="J17" s="44">
        <f t="shared" si="7"/>
        <v>18.000726644790717</v>
      </c>
      <c r="K17" s="45"/>
      <c r="L17" s="43">
        <f t="shared" si="8"/>
        <v>72.335675828518148</v>
      </c>
      <c r="M17" s="44">
        <f t="shared" si="9"/>
        <v>17.537690823687587</v>
      </c>
      <c r="N17" s="45"/>
      <c r="O17" s="43">
        <f t="shared" si="10"/>
        <v>66.606185659766567</v>
      </c>
      <c r="P17" s="44">
        <f t="shared" si="11"/>
        <v>16.148583360378204</v>
      </c>
      <c r="Q17" s="25"/>
      <c r="AC17" s="6"/>
      <c r="AD17" s="6"/>
      <c r="AE17" s="6"/>
      <c r="AF17" s="6"/>
      <c r="AG17" s="6"/>
    </row>
    <row r="18" spans="1:33" x14ac:dyDescent="0.2">
      <c r="A18" s="25"/>
      <c r="B18" s="42">
        <f t="shared" si="2"/>
        <v>10</v>
      </c>
      <c r="C18" s="36">
        <f t="shared" si="0"/>
        <v>0.23959403439996907</v>
      </c>
      <c r="D18" s="37">
        <f t="shared" si="3"/>
        <v>4.8215426534321391E-2</v>
      </c>
      <c r="E18" s="29"/>
      <c r="F18" s="43">
        <f t="shared" si="4"/>
        <v>188.02250046286372</v>
      </c>
      <c r="G18" s="44">
        <f t="shared" si="5"/>
        <v>37.837273705792171</v>
      </c>
      <c r="H18" s="45"/>
      <c r="I18" s="39">
        <f t="shared" si="6"/>
        <v>93.14326284047597</v>
      </c>
      <c r="J18" s="44">
        <f t="shared" si="7"/>
        <v>18.743964798200906</v>
      </c>
      <c r="K18" s="45"/>
      <c r="L18" s="43">
        <f t="shared" si="8"/>
        <v>90.747322496476286</v>
      </c>
      <c r="M18" s="44">
        <f t="shared" si="9"/>
        <v>18.261810532857691</v>
      </c>
      <c r="N18" s="45"/>
      <c r="O18" s="43">
        <f t="shared" si="10"/>
        <v>83.559501464477208</v>
      </c>
      <c r="P18" s="44">
        <f t="shared" si="11"/>
        <v>16.815347736828048</v>
      </c>
      <c r="Q18" s="25"/>
      <c r="AC18" s="6"/>
      <c r="AD18" s="6"/>
      <c r="AE18" s="6"/>
      <c r="AF18" s="6"/>
      <c r="AG18" s="6"/>
    </row>
    <row r="19" spans="1:33" x14ac:dyDescent="0.2">
      <c r="A19" s="25"/>
      <c r="B19" s="30">
        <f t="shared" si="2"/>
        <v>11</v>
      </c>
      <c r="C19" s="36">
        <f t="shared" si="0"/>
        <v>0.29289321881345243</v>
      </c>
      <c r="D19" s="37">
        <f t="shared" si="3"/>
        <v>4.8955246108112214E-2</v>
      </c>
      <c r="E19" s="29"/>
      <c r="F19" s="43">
        <f t="shared" si="4"/>
        <v>229.84927612174766</v>
      </c>
      <c r="G19" s="44">
        <f t="shared" si="5"/>
        <v>38.417850457228766</v>
      </c>
      <c r="H19" s="45"/>
      <c r="I19" s="39">
        <f t="shared" si="6"/>
        <v>113.86356147162053</v>
      </c>
      <c r="J19" s="44">
        <f t="shared" si="7"/>
        <v>19.03157299841633</v>
      </c>
      <c r="K19" s="45"/>
      <c r="L19" s="43">
        <f t="shared" si="8"/>
        <v>110.934629283486</v>
      </c>
      <c r="M19" s="44">
        <f t="shared" si="9"/>
        <v>18.542020537335208</v>
      </c>
      <c r="N19" s="45"/>
      <c r="O19" s="43">
        <f t="shared" si="10"/>
        <v>102.14783271908243</v>
      </c>
      <c r="P19" s="44">
        <f t="shared" si="11"/>
        <v>17.07336315409184</v>
      </c>
      <c r="Q19" s="25"/>
      <c r="AC19" s="6"/>
      <c r="AD19" s="6"/>
      <c r="AE19" s="6"/>
      <c r="AF19" s="6"/>
      <c r="AG19" s="6"/>
    </row>
    <row r="20" spans="1:33" x14ac:dyDescent="0.2">
      <c r="A20" s="25"/>
      <c r="B20" s="42">
        <f t="shared" si="2"/>
        <v>12</v>
      </c>
      <c r="C20" s="36">
        <f t="shared" si="0"/>
        <v>0.35055195166981634</v>
      </c>
      <c r="D20" s="37">
        <f t="shared" si="3"/>
        <v>4.8512355235137132E-2</v>
      </c>
      <c r="E20" s="29"/>
      <c r="F20" s="43">
        <f t="shared" si="4"/>
        <v>275.09722710819017</v>
      </c>
      <c r="G20" s="44">
        <f t="shared" si="5"/>
        <v>38.070289844638793</v>
      </c>
      <c r="H20" s="45"/>
      <c r="I20" s="39">
        <f t="shared" si="6"/>
        <v>136.27865424694292</v>
      </c>
      <c r="J20" s="44">
        <f t="shared" si="7"/>
        <v>18.859397171524492</v>
      </c>
      <c r="K20" s="45"/>
      <c r="L20" s="43">
        <f t="shared" si="8"/>
        <v>132.77313473024475</v>
      </c>
      <c r="M20" s="44">
        <f t="shared" si="9"/>
        <v>18.37427361917312</v>
      </c>
      <c r="N20" s="45"/>
      <c r="O20" s="43">
        <f t="shared" si="10"/>
        <v>122.25657618015028</v>
      </c>
      <c r="P20" s="44">
        <f t="shared" si="11"/>
        <v>16.918902962119006</v>
      </c>
      <c r="Q20" s="25"/>
      <c r="AC20" s="6"/>
      <c r="AD20" s="6"/>
      <c r="AE20" s="6"/>
      <c r="AF20" s="6"/>
      <c r="AG20" s="6"/>
    </row>
    <row r="21" spans="1:33" x14ac:dyDescent="0.2">
      <c r="A21" s="25"/>
      <c r="B21" s="30">
        <f t="shared" si="2"/>
        <v>13</v>
      </c>
      <c r="C21" s="36">
        <f t="shared" si="0"/>
        <v>0.41221474770752686</v>
      </c>
      <c r="D21" s="37">
        <f t="shared" si="3"/>
        <v>4.6910560565994408E-2</v>
      </c>
      <c r="E21" s="29"/>
      <c r="F21" s="43">
        <f t="shared" si="4"/>
        <v>323.48738475788912</v>
      </c>
      <c r="G21" s="44">
        <f t="shared" si="5"/>
        <v>36.813274244586196</v>
      </c>
      <c r="H21" s="45"/>
      <c r="I21" s="39">
        <f t="shared" si="6"/>
        <v>160.25034466570852</v>
      </c>
      <c r="J21" s="44">
        <f t="shared" si="7"/>
        <v>18.236692260452411</v>
      </c>
      <c r="K21" s="45"/>
      <c r="L21" s="43">
        <f t="shared" si="8"/>
        <v>156.12819718863324</v>
      </c>
      <c r="M21" s="44">
        <f t="shared" si="9"/>
        <v>17.767586654792467</v>
      </c>
      <c r="N21" s="45"/>
      <c r="O21" s="43">
        <f t="shared" si="10"/>
        <v>143.76175475740743</v>
      </c>
      <c r="P21" s="44">
        <f t="shared" si="11"/>
        <v>16.360269837812634</v>
      </c>
      <c r="Q21" s="25"/>
      <c r="AC21" s="6"/>
      <c r="AD21" s="6"/>
      <c r="AE21" s="6"/>
      <c r="AF21" s="6"/>
      <c r="AG21" s="6"/>
    </row>
    <row r="22" spans="1:33" x14ac:dyDescent="0.2">
      <c r="A22" s="25"/>
      <c r="B22" s="42">
        <f t="shared" si="2"/>
        <v>14</v>
      </c>
      <c r="C22" s="36">
        <f t="shared" si="0"/>
        <v>0.47750143528405109</v>
      </c>
      <c r="D22" s="37">
        <f t="shared" si="3"/>
        <v>4.4202884852944886E-2</v>
      </c>
      <c r="E22" s="29"/>
      <c r="F22" s="43">
        <f t="shared" si="4"/>
        <v>374.72140765757388</v>
      </c>
      <c r="G22" s="44">
        <f t="shared" si="5"/>
        <v>34.688413501349743</v>
      </c>
      <c r="H22" s="45"/>
      <c r="I22" s="39">
        <f t="shared" si="6"/>
        <v>185.63083928508965</v>
      </c>
      <c r="J22" s="44">
        <f t="shared" si="7"/>
        <v>17.184071099583569</v>
      </c>
      <c r="K22" s="45"/>
      <c r="L22" s="43">
        <f t="shared" si="8"/>
        <v>180.85582493224913</v>
      </c>
      <c r="M22" s="44">
        <f t="shared" si="9"/>
        <v>16.742042251054119</v>
      </c>
      <c r="N22" s="45"/>
      <c r="O22" s="43">
        <f t="shared" si="10"/>
        <v>166.53078187372759</v>
      </c>
      <c r="P22" s="44">
        <f t="shared" si="11"/>
        <v>15.415955705465773</v>
      </c>
      <c r="Q22" s="25"/>
      <c r="AC22" s="6"/>
      <c r="AD22" s="6"/>
      <c r="AE22" s="6"/>
      <c r="AF22" s="6"/>
      <c r="AG22" s="6"/>
    </row>
    <row r="23" spans="1:33" x14ac:dyDescent="0.2">
      <c r="A23" s="25"/>
      <c r="B23" s="30">
        <f t="shared" si="2"/>
        <v>15</v>
      </c>
      <c r="C23" s="36">
        <f t="shared" si="0"/>
        <v>0.54600950026045325</v>
      </c>
      <c r="D23" s="37">
        <f t="shared" si="3"/>
        <v>4.0462662247362759E-2</v>
      </c>
      <c r="E23" s="29"/>
      <c r="F23" s="43">
        <f t="shared" si="4"/>
        <v>428.48342101902648</v>
      </c>
      <c r="G23" s="44">
        <f t="shared" si="5"/>
        <v>31.753256921385368</v>
      </c>
      <c r="H23" s="45"/>
      <c r="I23" s="39">
        <f t="shared" si="6"/>
        <v>212.26365891588699</v>
      </c>
      <c r="J23" s="44">
        <f t="shared" si="7"/>
        <v>15.73004267142972</v>
      </c>
      <c r="K23" s="45"/>
      <c r="L23" s="43">
        <f t="shared" si="8"/>
        <v>206.80356391328246</v>
      </c>
      <c r="M23" s="44">
        <f t="shared" si="9"/>
        <v>15.325416048956093</v>
      </c>
      <c r="N23" s="45"/>
      <c r="O23" s="43">
        <f t="shared" si="10"/>
        <v>190.42327890546886</v>
      </c>
      <c r="P23" s="44">
        <f t="shared" si="11"/>
        <v>14.111536181535209</v>
      </c>
      <c r="Q23" s="25"/>
      <c r="AC23" s="6"/>
      <c r="AD23" s="6"/>
      <c r="AE23" s="6"/>
      <c r="AF23" s="6"/>
      <c r="AG23" s="6"/>
    </row>
    <row r="24" spans="1:33" x14ac:dyDescent="0.2">
      <c r="A24" s="25"/>
      <c r="B24" s="42">
        <f t="shared" si="2"/>
        <v>16</v>
      </c>
      <c r="C24" s="36">
        <f t="shared" si="0"/>
        <v>0.61731656763491016</v>
      </c>
      <c r="D24" s="37">
        <f t="shared" si="3"/>
        <v>3.5771987081442518E-2</v>
      </c>
      <c r="E24" s="29"/>
      <c r="F24" s="43">
        <f t="shared" si="4"/>
        <v>484.44196415218977</v>
      </c>
      <c r="G24" s="44">
        <f t="shared" si="5"/>
        <v>28.072228402607294</v>
      </c>
      <c r="H24" s="45"/>
      <c r="I24" s="39">
        <f t="shared" si="6"/>
        <v>239.98460336876536</v>
      </c>
      <c r="J24" s="44">
        <f t="shared" si="7"/>
        <v>13.906521518356058</v>
      </c>
      <c r="K24" s="45"/>
      <c r="L24" s="43">
        <f t="shared" si="8"/>
        <v>233.81143769241626</v>
      </c>
      <c r="M24" s="44">
        <f t="shared" si="9"/>
        <v>13.548801647541632</v>
      </c>
      <c r="N24" s="45"/>
      <c r="O24" s="43">
        <f t="shared" si="10"/>
        <v>215.29194066336896</v>
      </c>
      <c r="P24" s="44">
        <f t="shared" si="11"/>
        <v>12.475642035098357</v>
      </c>
      <c r="Q24" s="25"/>
      <c r="AC24" s="6"/>
      <c r="AD24" s="6"/>
      <c r="AE24" s="6"/>
      <c r="AF24" s="6"/>
      <c r="AG24" s="6"/>
    </row>
    <row r="25" spans="1:33" x14ac:dyDescent="0.2">
      <c r="A25" s="25"/>
      <c r="B25" s="30">
        <f t="shared" si="2"/>
        <v>17</v>
      </c>
      <c r="C25" s="36">
        <f t="shared" si="0"/>
        <v>0.69098300562505255</v>
      </c>
      <c r="D25" s="37">
        <f t="shared" si="3"/>
        <v>3.0208840602498573E-2</v>
      </c>
      <c r="E25" s="29"/>
      <c r="F25" s="43">
        <f t="shared" si="4"/>
        <v>542.25203403054422</v>
      </c>
      <c r="G25" s="44">
        <f t="shared" si="5"/>
        <v>23.706524080996054</v>
      </c>
      <c r="H25" s="45"/>
      <c r="I25" s="39">
        <f t="shared" si="6"/>
        <v>268.62276380302342</v>
      </c>
      <c r="J25" s="44">
        <f t="shared" si="7"/>
        <v>11.743823202406622</v>
      </c>
      <c r="K25" s="45"/>
      <c r="L25" s="43">
        <f t="shared" si="8"/>
        <v>261.71293374677288</v>
      </c>
      <c r="M25" s="44">
        <f t="shared" si="9"/>
        <v>11.441734796381636</v>
      </c>
      <c r="N25" s="45"/>
      <c r="O25" s="43">
        <f t="shared" si="10"/>
        <v>240.98344357802131</v>
      </c>
      <c r="P25" s="44">
        <f t="shared" si="11"/>
        <v>10.53546957830668</v>
      </c>
      <c r="Q25" s="25"/>
      <c r="AC25" s="6"/>
      <c r="AD25" s="6"/>
      <c r="AE25" s="6"/>
      <c r="AF25" s="6"/>
      <c r="AG25" s="6"/>
    </row>
    <row r="26" spans="1:33" x14ac:dyDescent="0.2">
      <c r="A26" s="25"/>
      <c r="B26" s="42">
        <f t="shared" si="2"/>
        <v>18</v>
      </c>
      <c r="C26" s="36">
        <f t="shared" si="0"/>
        <v>0.76655463614409447</v>
      </c>
      <c r="D26" s="37">
        <f t="shared" si="3"/>
        <v>2.3834429961971382E-2</v>
      </c>
      <c r="E26" s="29"/>
      <c r="F26" s="43">
        <f t="shared" si="4"/>
        <v>601.55721234949056</v>
      </c>
      <c r="G26" s="44">
        <f t="shared" si="5"/>
        <v>18.704176545046046</v>
      </c>
      <c r="H26" s="45"/>
      <c r="I26" s="39">
        <f t="shared" si="6"/>
        <v>298.00157643642916</v>
      </c>
      <c r="J26" s="44">
        <f t="shared" si="7"/>
        <v>9.2657422801053801</v>
      </c>
      <c r="K26" s="45"/>
      <c r="L26" s="43">
        <f t="shared" si="8"/>
        <v>290.33603007498817</v>
      </c>
      <c r="M26" s="44">
        <f t="shared" si="9"/>
        <v>9.0273979804856666</v>
      </c>
      <c r="N26" s="45"/>
      <c r="O26" s="43">
        <f t="shared" si="10"/>
        <v>267.33939099066538</v>
      </c>
      <c r="P26" s="44">
        <f t="shared" si="11"/>
        <v>8.312365081626524</v>
      </c>
      <c r="Q26" s="25"/>
      <c r="AC26" s="6"/>
      <c r="AD26" s="6"/>
      <c r="AE26" s="6"/>
      <c r="AF26" s="6"/>
      <c r="AG26" s="6"/>
    </row>
    <row r="27" spans="1:33" x14ac:dyDescent="0.2">
      <c r="A27" s="25"/>
      <c r="B27" s="30">
        <f t="shared" si="2"/>
        <v>19</v>
      </c>
      <c r="C27" s="36">
        <f t="shared" si="0"/>
        <v>0.84356553495976905</v>
      </c>
      <c r="D27" s="37">
        <f t="shared" si="3"/>
        <v>1.6682325089480532E-2</v>
      </c>
      <c r="E27" s="29"/>
      <c r="F27" s="43">
        <f t="shared" si="4"/>
        <v>661.99186296371965</v>
      </c>
      <c r="G27" s="44">
        <f t="shared" si="5"/>
        <v>13.091529948622549</v>
      </c>
      <c r="H27" s="45"/>
      <c r="I27" s="39">
        <f t="shared" si="6"/>
        <v>327.93991111965113</v>
      </c>
      <c r="J27" s="44">
        <f t="shared" si="7"/>
        <v>6.4853292131882592</v>
      </c>
      <c r="K27" s="45"/>
      <c r="L27" s="43">
        <f t="shared" si="8"/>
        <v>319.50425577005342</v>
      </c>
      <c r="M27" s="44">
        <f t="shared" si="9"/>
        <v>6.3185059622934538</v>
      </c>
      <c r="N27" s="45"/>
      <c r="O27" s="43">
        <f t="shared" si="10"/>
        <v>294.19728972126035</v>
      </c>
      <c r="P27" s="44">
        <f t="shared" si="11"/>
        <v>5.8180362096090379</v>
      </c>
      <c r="Q27" s="25"/>
      <c r="AC27" s="6"/>
      <c r="AD27" s="6"/>
      <c r="AE27" s="6"/>
      <c r="AF27" s="6"/>
      <c r="AG27" s="6"/>
    </row>
    <row r="28" spans="1:33" x14ac:dyDescent="0.2">
      <c r="A28" s="25"/>
      <c r="B28" s="42">
        <f t="shared" si="2"/>
        <v>20</v>
      </c>
      <c r="C28" s="36">
        <f t="shared" si="0"/>
        <v>0.92154090427215496</v>
      </c>
      <c r="D28" s="37">
        <f t="shared" si="3"/>
        <v>8.7508617503790423E-3</v>
      </c>
      <c r="E28" s="29"/>
      <c r="F28" s="43">
        <f t="shared" si="4"/>
        <v>723.18338615563403</v>
      </c>
      <c r="G28" s="44">
        <f t="shared" si="5"/>
        <v>6.8672782760709348</v>
      </c>
      <c r="H28" s="45"/>
      <c r="I28" s="39">
        <f t="shared" si="6"/>
        <v>358.25318806386076</v>
      </c>
      <c r="J28" s="44">
        <f t="shared" si="7"/>
        <v>3.4019370229208343</v>
      </c>
      <c r="K28" s="45"/>
      <c r="L28" s="43">
        <f t="shared" si="8"/>
        <v>349.03777902113916</v>
      </c>
      <c r="M28" s="44">
        <f t="shared" si="9"/>
        <v>3.3144284054170439</v>
      </c>
      <c r="N28" s="45"/>
      <c r="O28" s="43">
        <f t="shared" si="10"/>
        <v>321.39155189297452</v>
      </c>
      <c r="P28" s="44">
        <f t="shared" si="11"/>
        <v>3.0519025529056729</v>
      </c>
      <c r="Q28" s="25"/>
      <c r="AC28" s="6"/>
      <c r="AD28" s="6"/>
      <c r="AE28" s="6"/>
      <c r="AF28" s="6"/>
      <c r="AG28" s="6"/>
    </row>
    <row r="29" spans="1:33" ht="13.5" thickBot="1" x14ac:dyDescent="0.25">
      <c r="A29" s="25"/>
      <c r="B29" s="46">
        <f t="shared" si="2"/>
        <v>21</v>
      </c>
      <c r="C29" s="47">
        <f t="shared" si="0"/>
        <v>0.99999999999999989</v>
      </c>
      <c r="D29" s="48">
        <f t="shared" si="3"/>
        <v>6.9388939039072284E-18</v>
      </c>
      <c r="E29" s="29"/>
      <c r="F29" s="49">
        <f>C29*_krd0</f>
        <v>784.75451583650931</v>
      </c>
      <c r="G29" s="50">
        <f>D29*_krd0</f>
        <v>5.4453283260016238E-15</v>
      </c>
      <c r="H29" s="45"/>
      <c r="I29" s="51">
        <f t="shared" si="6"/>
        <v>388.75451583650943</v>
      </c>
      <c r="J29" s="50">
        <f t="shared" si="7"/>
        <v>2.6975263400543617E-15</v>
      </c>
      <c r="K29" s="45"/>
      <c r="L29" s="49">
        <f t="shared" si="8"/>
        <v>378.75451583650943</v>
      </c>
      <c r="M29" s="50">
        <f t="shared" si="9"/>
        <v>2.6281374010152894E-15</v>
      </c>
      <c r="N29" s="45"/>
      <c r="O29" s="49">
        <f t="shared" si="10"/>
        <v>348.75451583650943</v>
      </c>
      <c r="P29" s="50">
        <f t="shared" si="11"/>
        <v>2.4199705838980726E-15</v>
      </c>
      <c r="Q29" s="25"/>
      <c r="AC29" s="6"/>
      <c r="AD29" s="6"/>
      <c r="AE29" s="6"/>
      <c r="AF29" s="6"/>
      <c r="AG29" s="6"/>
    </row>
    <row r="30" spans="1:33" ht="15" x14ac:dyDescent="0.25">
      <c r="A30" s="25"/>
      <c r="B30" s="55"/>
      <c r="C30" s="56"/>
      <c r="D30" s="76">
        <f>(naca/0.2)*((0.2969*(1^0.5))-(0.126*1)-(0.3516*(1^2))+(0.2843*(1^3))-(0.1015*(1^4)))</f>
        <v>1.0499999999999815E-3</v>
      </c>
      <c r="E30" s="25"/>
      <c r="F30" s="57"/>
      <c r="G30" s="57"/>
      <c r="H30" s="57"/>
      <c r="I30" s="58"/>
      <c r="J30" s="57"/>
      <c r="K30" s="57"/>
      <c r="L30" s="57"/>
      <c r="M30" s="57"/>
      <c r="N30" s="57"/>
      <c r="O30" s="57"/>
      <c r="P30" s="57"/>
      <c r="Q30" s="25"/>
      <c r="S30" s="13"/>
      <c r="T30" s="7"/>
      <c r="V30" s="10"/>
      <c r="W30" s="7"/>
    </row>
    <row r="31" spans="1:33" x14ac:dyDescent="0.2">
      <c r="A31" s="25"/>
      <c r="B31" s="25"/>
      <c r="C31" s="25"/>
      <c r="D31" s="25"/>
      <c r="E31" s="25"/>
      <c r="F31" s="25"/>
      <c r="G31" s="25"/>
      <c r="H31" s="25"/>
      <c r="I31" s="25"/>
      <c r="J31" s="25"/>
      <c r="K31" s="25"/>
      <c r="L31" s="25"/>
      <c r="M31" s="25"/>
      <c r="N31" s="25"/>
      <c r="O31" s="25"/>
      <c r="P31" s="25"/>
      <c r="Q31" s="25"/>
    </row>
    <row r="32" spans="1:33" x14ac:dyDescent="0.2">
      <c r="A32" s="25"/>
      <c r="B32" s="25" t="s">
        <v>23</v>
      </c>
      <c r="C32" s="25"/>
      <c r="D32" s="25"/>
      <c r="E32" s="25"/>
      <c r="F32" s="25"/>
      <c r="G32" s="25"/>
      <c r="H32" s="25"/>
      <c r="I32" s="25"/>
      <c r="J32" s="25"/>
      <c r="K32" s="25"/>
      <c r="L32" s="25"/>
      <c r="M32" s="25"/>
      <c r="N32" s="25"/>
      <c r="O32" s="25"/>
      <c r="P32" s="25"/>
      <c r="Q32" s="25"/>
    </row>
    <row r="33" spans="1:17" x14ac:dyDescent="0.2">
      <c r="A33" s="25"/>
      <c r="B33" s="25"/>
      <c r="C33" s="25"/>
      <c r="D33" s="25"/>
      <c r="E33" s="25"/>
      <c r="F33" s="25"/>
      <c r="G33" s="25"/>
      <c r="H33" s="25"/>
      <c r="I33" s="25"/>
      <c r="J33" s="25"/>
      <c r="K33" s="25"/>
      <c r="L33" s="25"/>
      <c r="M33" s="25"/>
      <c r="N33" s="25"/>
      <c r="O33" s="25"/>
      <c r="P33" s="25"/>
      <c r="Q33" s="25"/>
    </row>
    <row r="34" spans="1:17" x14ac:dyDescent="0.2">
      <c r="A34" s="25"/>
      <c r="B34" s="25"/>
      <c r="C34" s="25"/>
      <c r="D34" s="25"/>
      <c r="E34" s="25"/>
      <c r="F34" s="25"/>
      <c r="G34" s="25"/>
      <c r="H34" s="25"/>
      <c r="I34" s="25"/>
      <c r="J34" s="25"/>
      <c r="K34" s="25"/>
      <c r="L34" s="25"/>
      <c r="M34" s="25"/>
      <c r="N34" s="25"/>
      <c r="O34" s="25"/>
      <c r="P34" s="25"/>
      <c r="Q34" s="25"/>
    </row>
    <row r="35" spans="1:17" x14ac:dyDescent="0.2">
      <c r="A35" s="25"/>
      <c r="B35" s="25"/>
      <c r="C35" s="25"/>
      <c r="D35" s="25"/>
      <c r="E35" s="25"/>
      <c r="F35" s="25"/>
      <c r="G35" s="25"/>
      <c r="H35" s="25"/>
      <c r="I35" s="25"/>
      <c r="J35" s="25"/>
      <c r="K35" s="25"/>
      <c r="L35" s="25"/>
      <c r="M35" s="25"/>
      <c r="N35" s="25"/>
      <c r="O35" s="25"/>
      <c r="P35" s="25"/>
      <c r="Q35" s="25"/>
    </row>
    <row r="36" spans="1:17" x14ac:dyDescent="0.2">
      <c r="A36" s="25"/>
      <c r="B36" s="25"/>
      <c r="C36" s="25"/>
      <c r="D36" s="25"/>
      <c r="E36" s="25"/>
      <c r="F36" s="25"/>
      <c r="G36" s="25"/>
      <c r="H36" s="25"/>
      <c r="I36" s="25"/>
      <c r="J36" s="25"/>
      <c r="K36" s="25"/>
      <c r="L36" s="25"/>
      <c r="M36" s="25"/>
      <c r="N36" s="25"/>
      <c r="O36" s="25"/>
      <c r="P36" s="25"/>
      <c r="Q36" s="25"/>
    </row>
    <row r="37" spans="1:17" x14ac:dyDescent="0.2">
      <c r="A37" s="25"/>
      <c r="B37" s="25"/>
      <c r="C37" s="25"/>
      <c r="D37" s="25"/>
      <c r="E37" s="25"/>
      <c r="F37" s="25"/>
      <c r="G37" s="25"/>
      <c r="H37" s="25"/>
      <c r="I37" s="25"/>
      <c r="J37" s="25"/>
      <c r="K37" s="25"/>
      <c r="L37" s="25"/>
      <c r="M37" s="25"/>
      <c r="N37" s="25"/>
      <c r="O37" s="25"/>
      <c r="P37" s="25"/>
      <c r="Q37" s="25"/>
    </row>
    <row r="38" spans="1:17" x14ac:dyDescent="0.2">
      <c r="A38" s="25"/>
      <c r="B38" s="25"/>
      <c r="C38" s="25"/>
      <c r="D38" s="25"/>
      <c r="E38" s="25"/>
      <c r="F38" s="25"/>
      <c r="G38" s="25"/>
      <c r="H38" s="25"/>
      <c r="I38" s="25"/>
      <c r="J38" s="25"/>
      <c r="K38" s="25"/>
      <c r="L38" s="25"/>
      <c r="M38" s="25"/>
      <c r="N38" s="25"/>
      <c r="O38" s="25"/>
      <c r="P38" s="25"/>
      <c r="Q38" s="25"/>
    </row>
    <row r="39" spans="1:17" x14ac:dyDescent="0.2">
      <c r="A39" s="25"/>
      <c r="B39" s="25"/>
      <c r="C39" s="25"/>
      <c r="D39" s="25"/>
      <c r="E39" s="25"/>
      <c r="F39" s="25"/>
      <c r="G39" s="25"/>
      <c r="H39" s="25"/>
      <c r="I39" s="25"/>
      <c r="J39" s="25"/>
      <c r="K39" s="25"/>
      <c r="L39" s="25"/>
      <c r="M39" s="25"/>
      <c r="N39" s="25"/>
      <c r="O39" s="25"/>
      <c r="P39" s="25"/>
      <c r="Q39" s="25"/>
    </row>
    <row r="41" spans="1:17" x14ac:dyDescent="0.2">
      <c r="E41" s="5" t="s">
        <v>66</v>
      </c>
      <c r="G41" s="88">
        <f>MAX(G9:G29)</f>
        <v>38.417850457228766</v>
      </c>
    </row>
    <row r="42" spans="1:17" x14ac:dyDescent="0.2">
      <c r="G42" s="5">
        <f>+G41*2</f>
        <v>76.835700914457533</v>
      </c>
    </row>
    <row r="56" s="5" customFormat="1" x14ac:dyDescent="0.2"/>
    <row r="57" s="5" customFormat="1" x14ac:dyDescent="0.2"/>
    <row r="58" s="5" customFormat="1" x14ac:dyDescent="0.2"/>
    <row r="59" s="5" customFormat="1" x14ac:dyDescent="0.2"/>
    <row r="60" s="5" customFormat="1" x14ac:dyDescent="0.2"/>
    <row r="61" s="5" customFormat="1" x14ac:dyDescent="0.2"/>
    <row r="62" s="5" customFormat="1" x14ac:dyDescent="0.2"/>
    <row r="63" s="5" customFormat="1" x14ac:dyDescent="0.2"/>
    <row r="64" s="5" customFormat="1" x14ac:dyDescent="0.2"/>
    <row r="65" s="5" customFormat="1" x14ac:dyDescent="0.2"/>
  </sheetData>
  <mergeCells count="1">
    <mergeCell ref="C2:P2"/>
  </mergeCells>
  <pageMargins left="0.75" right="0.75" top="0.28999999999999998" bottom="0.28000000000000003" header="0.22" footer="0.23"/>
  <pageSetup paperSize="9" orientation="landscape" horizontalDpi="1200" verticalDpi="12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7"/>
  <sheetViews>
    <sheetView topLeftCell="A18" zoomScaleNormal="100" workbookViewId="0"/>
  </sheetViews>
  <sheetFormatPr defaultRowHeight="15" x14ac:dyDescent="0.25"/>
  <cols>
    <col min="1" max="1" width="1.5703125" customWidth="1"/>
    <col min="2" max="2" width="7.85546875" customWidth="1"/>
    <col min="3" max="6" width="17.7109375" customWidth="1"/>
  </cols>
  <sheetData>
    <row r="1" spans="1:17" x14ac:dyDescent="0.25">
      <c r="A1" s="18"/>
      <c r="B1" s="18"/>
      <c r="C1" s="18"/>
      <c r="D1" s="18"/>
      <c r="E1" s="18"/>
      <c r="F1" s="18"/>
      <c r="G1" s="18"/>
      <c r="H1" s="18"/>
      <c r="I1" s="18"/>
      <c r="J1" s="18"/>
      <c r="K1" s="18"/>
      <c r="L1" s="18"/>
      <c r="M1" s="18"/>
      <c r="N1" s="18"/>
      <c r="O1" s="18"/>
      <c r="P1" s="18"/>
      <c r="Q1" s="18"/>
    </row>
    <row r="2" spans="1:17" x14ac:dyDescent="0.25">
      <c r="A2" s="25"/>
      <c r="B2" s="25"/>
      <c r="C2" s="26" t="s">
        <v>47</v>
      </c>
      <c r="D2" s="25"/>
      <c r="E2" s="25"/>
      <c r="F2" s="25"/>
      <c r="G2" s="25"/>
      <c r="H2" s="25"/>
      <c r="I2" s="25"/>
      <c r="J2" s="25"/>
      <c r="K2" s="25"/>
      <c r="L2" s="25"/>
      <c r="M2" s="25"/>
      <c r="N2" s="25"/>
      <c r="O2" s="25"/>
      <c r="P2" s="25"/>
      <c r="Q2" s="25"/>
    </row>
    <row r="3" spans="1:17" ht="63" customHeight="1" x14ac:dyDescent="0.25">
      <c r="A3" s="25"/>
      <c r="B3" s="25"/>
      <c r="C3" s="79" t="s">
        <v>50</v>
      </c>
      <c r="D3" s="79"/>
      <c r="E3" s="79"/>
      <c r="F3" s="79"/>
      <c r="G3" s="79"/>
      <c r="H3" s="25"/>
      <c r="I3" s="25"/>
      <c r="J3" s="25"/>
      <c r="K3" s="25"/>
      <c r="L3" s="25"/>
      <c r="M3" s="25"/>
      <c r="N3" s="25"/>
      <c r="O3" s="25"/>
      <c r="P3" s="25"/>
      <c r="Q3" s="25"/>
    </row>
    <row r="4" spans="1:17" ht="50.25" customHeight="1" x14ac:dyDescent="0.25">
      <c r="A4" s="25"/>
      <c r="B4" s="25"/>
      <c r="C4" s="79" t="s">
        <v>51</v>
      </c>
      <c r="D4" s="79"/>
      <c r="E4" s="79"/>
      <c r="F4" s="79"/>
      <c r="G4" s="79"/>
      <c r="H4" s="25"/>
      <c r="I4" s="25"/>
      <c r="J4" s="25"/>
      <c r="K4" s="25"/>
      <c r="L4" s="25"/>
      <c r="M4" s="25"/>
      <c r="N4" s="25"/>
      <c r="O4" s="25"/>
      <c r="P4" s="25"/>
      <c r="Q4" s="25"/>
    </row>
    <row r="5" spans="1:17" ht="25.5" customHeight="1" x14ac:dyDescent="0.25">
      <c r="A5" s="25"/>
      <c r="B5" s="25"/>
      <c r="C5" s="81" t="s">
        <v>48</v>
      </c>
      <c r="D5" s="81"/>
      <c r="E5" s="81"/>
      <c r="F5" s="81"/>
      <c r="G5" s="81"/>
      <c r="H5" s="25"/>
      <c r="I5" s="25"/>
      <c r="J5" s="25"/>
      <c r="K5" s="25"/>
      <c r="L5" s="25"/>
      <c r="M5" s="25"/>
      <c r="N5" s="25"/>
      <c r="O5" s="25"/>
      <c r="P5" s="25"/>
      <c r="Q5" s="25"/>
    </row>
    <row r="6" spans="1:17" x14ac:dyDescent="0.25">
      <c r="A6" s="25"/>
      <c r="B6" s="25"/>
      <c r="C6" s="80">
        <f>'NACA profielen'!L3</f>
        <v>18.754515836509462</v>
      </c>
      <c r="D6" s="80"/>
      <c r="E6" s="80"/>
      <c r="F6" s="80"/>
      <c r="G6" s="25"/>
      <c r="H6" s="25"/>
      <c r="I6" s="25"/>
      <c r="J6" s="25"/>
      <c r="K6" s="25"/>
      <c r="L6" s="25"/>
      <c r="M6" s="25"/>
      <c r="N6" s="25"/>
      <c r="O6" s="25"/>
      <c r="P6" s="25"/>
      <c r="Q6" s="25"/>
    </row>
    <row r="7" spans="1:17" x14ac:dyDescent="0.25">
      <c r="A7" s="25"/>
      <c r="B7" s="25"/>
      <c r="C7" s="25"/>
      <c r="D7" s="25"/>
      <c r="E7" s="25"/>
      <c r="F7" s="25"/>
      <c r="G7" s="25"/>
      <c r="H7" s="25"/>
      <c r="I7" s="25"/>
      <c r="J7" s="25"/>
      <c r="K7" s="25"/>
      <c r="L7" s="25"/>
      <c r="M7" s="25"/>
      <c r="N7" s="25"/>
      <c r="O7" s="25"/>
      <c r="P7" s="25"/>
      <c r="Q7" s="25"/>
    </row>
    <row r="8" spans="1:17" x14ac:dyDescent="0.25">
      <c r="A8" s="25"/>
      <c r="B8" s="71" t="str">
        <f>CONCATENATE("Profielmal ",'NACA profielen'!G5)</f>
        <v>Profielmal 1</v>
      </c>
      <c r="C8" s="70"/>
      <c r="D8" s="25"/>
      <c r="E8" s="35"/>
      <c r="F8" s="35"/>
      <c r="G8" s="25"/>
      <c r="H8" s="35"/>
      <c r="I8" s="35"/>
      <c r="J8" s="25"/>
      <c r="K8" s="35"/>
      <c r="L8" s="35"/>
      <c r="M8" s="25"/>
      <c r="N8" s="25"/>
      <c r="O8" s="25"/>
      <c r="P8" s="25"/>
      <c r="Q8" s="25"/>
    </row>
    <row r="9" spans="1:17" x14ac:dyDescent="0.25">
      <c r="A9" s="25"/>
      <c r="B9" s="35" t="str">
        <f>CONCATENATE("SPLINE ",C24," ",C25," ",C26," ",C27," ",C28," ",C29," ",C30," ",C31," ",C32," ",C33," ",C34," ",C35," ",C36," ",C37," ",C38," ",C39," ",C40," ",C41," ",C42," ",C43," ",C44)</f>
        <v>SPLINE 0,0 2.4,5.5 9.7,11.5 21.7,17.1 38.4,22.2 59.7,26.8 85.5,30.7 115.6,34 149.9,36.3 188,37.8 229.8,38.4 275.1,38.1 323.5,36.8 374.7,34.7 428.5,31.8 484.4,28.1 542.3,23.7 601.6,18.7 662,13.1 723.2,6.9 784.8,0</v>
      </c>
      <c r="C9" s="69"/>
      <c r="D9" s="35"/>
      <c r="E9" s="35"/>
      <c r="F9" s="35"/>
      <c r="G9" s="25"/>
      <c r="H9" s="35"/>
      <c r="I9" s="35"/>
      <c r="J9" s="25"/>
      <c r="K9" s="35"/>
      <c r="L9" s="35"/>
      <c r="M9" s="25"/>
      <c r="N9" s="25"/>
      <c r="O9" s="25"/>
      <c r="P9" s="25"/>
      <c r="Q9" s="25"/>
    </row>
    <row r="10" spans="1:17" x14ac:dyDescent="0.25">
      <c r="A10" s="25"/>
      <c r="B10" s="25"/>
      <c r="C10" s="69"/>
      <c r="D10" s="35"/>
      <c r="E10" s="35"/>
      <c r="F10" s="35"/>
      <c r="G10" s="25"/>
      <c r="H10" s="35"/>
      <c r="I10" s="35"/>
      <c r="J10" s="25"/>
      <c r="K10" s="35"/>
      <c r="L10" s="35"/>
      <c r="M10" s="25"/>
      <c r="N10" s="25"/>
      <c r="O10" s="25"/>
      <c r="P10" s="25"/>
      <c r="Q10" s="25"/>
    </row>
    <row r="11" spans="1:17" x14ac:dyDescent="0.25">
      <c r="A11" s="25"/>
      <c r="B11" s="71" t="str">
        <f>CONCATENATE("Profielmal ",'NACA profielen'!J5)</f>
        <v>Profielmal 2</v>
      </c>
      <c r="C11" s="69"/>
      <c r="D11" s="25"/>
      <c r="E11" s="25"/>
      <c r="F11" s="25"/>
      <c r="G11" s="25"/>
      <c r="H11" s="25"/>
      <c r="I11" s="25"/>
      <c r="J11" s="25"/>
      <c r="K11" s="25"/>
      <c r="L11" s="25"/>
      <c r="M11" s="25"/>
      <c r="N11" s="25"/>
      <c r="O11" s="25"/>
      <c r="P11" s="25"/>
      <c r="Q11" s="25"/>
    </row>
    <row r="12" spans="1:17" x14ac:dyDescent="0.25">
      <c r="A12" s="25"/>
      <c r="B12" s="35" t="str">
        <f>CONCATENATE("SPLINE ",D24," ", D25," ",D26," ",D27," ",D28," ",D29," ",D30," ",D31," ",D32," ",D33," ",D34," ",D35," ",D36," ",D37," ",D38," ",D39," ",D40," ",D41," ",D42," ",D43," ",D44)</f>
        <v>SPLINE 0,0 1.2,2.7 4.8,5.7 10.7,8.5 19,11 29.6,13.3 42.4,15.2 57.3,16.8 74.2,18 93.1,18.7 113.9,19 136.3,18.9 160.3,18.2 185.6,17.2 212.3,15.7 240,13.9 268.6,11.7 298,9.3 327.9,6.5 358.3,3.4 388.8,0</v>
      </c>
      <c r="C12" s="69"/>
      <c r="D12" s="35"/>
      <c r="E12" s="25"/>
      <c r="F12" s="25"/>
      <c r="G12" s="25"/>
      <c r="H12" s="25"/>
      <c r="I12" s="25"/>
      <c r="J12" s="25"/>
      <c r="K12" s="25"/>
      <c r="L12" s="25"/>
      <c r="M12" s="25"/>
      <c r="N12" s="25"/>
      <c r="O12" s="25"/>
      <c r="P12" s="25"/>
      <c r="Q12" s="25"/>
    </row>
    <row r="13" spans="1:17" x14ac:dyDescent="0.25">
      <c r="A13" s="25"/>
      <c r="B13" s="25"/>
      <c r="C13" s="69"/>
      <c r="D13" s="35"/>
      <c r="E13" s="25"/>
      <c r="F13" s="25"/>
      <c r="G13" s="25"/>
      <c r="H13" s="25"/>
      <c r="I13" s="25"/>
      <c r="J13" s="25"/>
      <c r="K13" s="25"/>
      <c r="L13" s="25"/>
      <c r="M13" s="25"/>
      <c r="N13" s="25"/>
      <c r="O13" s="25"/>
      <c r="P13" s="25"/>
      <c r="Q13" s="25"/>
    </row>
    <row r="14" spans="1:17" x14ac:dyDescent="0.25">
      <c r="A14" s="25"/>
      <c r="B14" s="71" t="str">
        <f>CONCATENATE("Profielmal ",'NACA profielen'!M5)</f>
        <v>Profielmal 3</v>
      </c>
      <c r="C14" s="69"/>
      <c r="D14" s="25"/>
      <c r="E14" s="25"/>
      <c r="F14" s="25"/>
      <c r="G14" s="25"/>
      <c r="H14" s="25"/>
      <c r="I14" s="25"/>
      <c r="J14" s="25"/>
      <c r="K14" s="25"/>
      <c r="L14" s="25"/>
      <c r="M14" s="25"/>
      <c r="N14" s="25"/>
      <c r="O14" s="25"/>
      <c r="P14" s="25"/>
      <c r="Q14" s="25"/>
    </row>
    <row r="15" spans="1:17" x14ac:dyDescent="0.25">
      <c r="A15" s="25"/>
      <c r="B15" s="35" t="str">
        <f>CONCATENATE("SPLINE ",E24," ",E25," ",E26," ",E27," ",E28," ",E29," ",E30," ",E31," ",E32," ",E33," ",E34," ",E35," ",E36," ",E37," ",E38," ",E39," ",E40," ",E41," ",E42," ",E43," ",E44)</f>
        <v>SPLINE 0,0 1.2,2.6 4.7,5.5 10.5,8.2; 18.5,10.7 28.8,12.9 41.3,14.8 55.8,16.4 72.3,17.5 90.7,18.3 110.9,18.5 132.8,18.4 156.1,17.8 180.9,16.7 206.8,15.3 233.8,13.5 261.7,11.4 290.3,9 319.5,6.3 349,3.3 378.8,0</v>
      </c>
      <c r="C15" s="69"/>
      <c r="D15" s="35"/>
      <c r="E15" s="25"/>
      <c r="F15" s="25"/>
      <c r="G15" s="25"/>
      <c r="H15" s="25"/>
      <c r="I15" s="25"/>
      <c r="J15" s="25"/>
      <c r="K15" s="25"/>
      <c r="L15" s="25"/>
      <c r="M15" s="25"/>
      <c r="N15" s="25"/>
      <c r="O15" s="25"/>
      <c r="P15" s="25"/>
      <c r="Q15" s="25"/>
    </row>
    <row r="16" spans="1:17" x14ac:dyDescent="0.25">
      <c r="A16" s="25"/>
      <c r="B16" s="25"/>
      <c r="C16" s="69"/>
      <c r="D16" s="35"/>
      <c r="E16" s="25"/>
      <c r="F16" s="25"/>
      <c r="G16" s="25"/>
      <c r="H16" s="25"/>
      <c r="I16" s="25"/>
      <c r="J16" s="25"/>
      <c r="K16" s="25"/>
      <c r="L16" s="25"/>
      <c r="M16" s="25"/>
      <c r="N16" s="25"/>
      <c r="O16" s="25"/>
      <c r="P16" s="25"/>
      <c r="Q16" s="25"/>
    </row>
    <row r="17" spans="1:17" x14ac:dyDescent="0.25">
      <c r="A17" s="25"/>
      <c r="B17" s="71" t="str">
        <f>CONCATENATE("Profielmal ",'NACA profielen'!P5)</f>
        <v>Profielmal 4</v>
      </c>
      <c r="C17" s="69"/>
      <c r="D17" s="25"/>
      <c r="E17" s="25"/>
      <c r="F17" s="25"/>
      <c r="G17" s="25"/>
      <c r="H17" s="25"/>
      <c r="I17" s="25"/>
      <c r="J17" s="25"/>
      <c r="K17" s="25"/>
      <c r="L17" s="25"/>
      <c r="M17" s="25"/>
      <c r="N17" s="25"/>
      <c r="O17" s="25"/>
      <c r="P17" s="25"/>
      <c r="Q17" s="25"/>
    </row>
    <row r="18" spans="1:17" x14ac:dyDescent="0.25">
      <c r="A18" s="25"/>
      <c r="B18" s="35" t="str">
        <f>CONCATENATE("SPLINE ",F24," ",F25," ",F26," ",F27," ",F28," ",F29," ",F30," ",F31," ",F32," ",F33," ",F34," ",F35," ",F36," ",F37," ",F38," ",F39," ",F40," ",F41," ",F42," ",F43," ",F44)</f>
        <v>SPLINE 0,0 1.1,2.4 4.3,5.1 9.6,7.6 17.1,9.9 26.5,11.9 38,13.7 51.4,15.1 66.6,16.1 83.6,16.8 102.1,17.1 122.3,16.9 143.8,16.4 166.5,15.4 190.4,14.1 215.3,12.5 241,10.5 267.3,8.3 294.2,5.8 321.4,3.1 348.8,0</v>
      </c>
      <c r="C18" s="25"/>
      <c r="D18" s="25"/>
      <c r="E18" s="25"/>
      <c r="F18" s="25"/>
      <c r="G18" s="25"/>
      <c r="H18" s="25"/>
      <c r="I18" s="25"/>
      <c r="J18" s="25"/>
      <c r="K18" s="25"/>
      <c r="L18" s="25"/>
      <c r="M18" s="25"/>
      <c r="N18" s="25"/>
      <c r="O18" s="25"/>
      <c r="P18" s="25"/>
      <c r="Q18" s="25"/>
    </row>
    <row r="19" spans="1:17" x14ac:dyDescent="0.25">
      <c r="A19" s="25"/>
      <c r="B19" s="25"/>
      <c r="C19" s="25"/>
      <c r="D19" s="25"/>
      <c r="E19" s="25"/>
      <c r="F19" s="25"/>
      <c r="G19" s="25"/>
      <c r="H19" s="25"/>
      <c r="I19" s="25"/>
      <c r="J19" s="25"/>
      <c r="K19" s="25"/>
      <c r="L19" s="25"/>
      <c r="M19" s="25"/>
      <c r="N19" s="25"/>
      <c r="O19" s="25"/>
      <c r="P19" s="25"/>
      <c r="Q19" s="25"/>
    </row>
    <row r="20" spans="1:17" x14ac:dyDescent="0.25">
      <c r="A20" s="25"/>
      <c r="B20" s="25"/>
      <c r="C20" s="25"/>
      <c r="D20" s="25"/>
      <c r="E20" s="25"/>
      <c r="F20" s="25"/>
      <c r="G20" s="25"/>
      <c r="H20" s="25"/>
      <c r="I20" s="25"/>
      <c r="J20" s="25"/>
      <c r="K20" s="25"/>
      <c r="L20" s="25"/>
      <c r="M20" s="25"/>
      <c r="N20" s="25"/>
      <c r="O20" s="25"/>
      <c r="P20" s="25"/>
      <c r="Q20" s="25"/>
    </row>
    <row r="21" spans="1:17" ht="29.25" customHeight="1" x14ac:dyDescent="0.25">
      <c r="A21" s="25"/>
      <c r="B21" s="25"/>
      <c r="C21" s="79" t="s">
        <v>49</v>
      </c>
      <c r="D21" s="79"/>
      <c r="E21" s="79"/>
      <c r="F21" s="79"/>
      <c r="G21" s="79"/>
      <c r="H21" s="25"/>
      <c r="I21" s="25"/>
      <c r="J21" s="25"/>
      <c r="K21" s="25"/>
      <c r="L21" s="25"/>
      <c r="M21" s="25"/>
      <c r="N21" s="25"/>
      <c r="O21" s="25"/>
      <c r="P21" s="25"/>
      <c r="Q21" s="25"/>
    </row>
    <row r="22" spans="1:17" x14ac:dyDescent="0.25">
      <c r="A22" s="25"/>
      <c r="B22" s="25"/>
      <c r="C22" s="35"/>
      <c r="D22" s="25"/>
      <c r="E22" s="25"/>
      <c r="F22" s="25"/>
      <c r="G22" s="25"/>
      <c r="H22" s="25"/>
      <c r="I22" s="25"/>
      <c r="J22" s="25"/>
      <c r="K22" s="25"/>
      <c r="L22" s="25"/>
      <c r="M22" s="25"/>
      <c r="N22" s="25"/>
      <c r="O22" s="25"/>
      <c r="P22" s="25"/>
      <c r="Q22" s="25"/>
    </row>
    <row r="23" spans="1:17" x14ac:dyDescent="0.25">
      <c r="A23" s="25"/>
      <c r="B23" s="25"/>
      <c r="C23" s="71" t="str">
        <f>CONCATENATE("Profielmal ",'NACA profielen'!G5)</f>
        <v>Profielmal 1</v>
      </c>
      <c r="D23" s="71" t="str">
        <f>CONCATENATE("Profielmal ",'NACA profielen'!J5)</f>
        <v>Profielmal 2</v>
      </c>
      <c r="E23" s="71" t="str">
        <f>CONCATENATE("Profielmal ",'NACA profielen'!M5)</f>
        <v>Profielmal 3</v>
      </c>
      <c r="F23" s="71" t="str">
        <f>CONCATENATE("Profielmal ",'NACA profielen'!P5)</f>
        <v>Profielmal 4</v>
      </c>
      <c r="G23" s="25"/>
      <c r="H23" s="25"/>
      <c r="I23" s="25"/>
      <c r="J23" s="25"/>
      <c r="K23" s="25"/>
      <c r="L23" s="25"/>
      <c r="M23" s="25"/>
      <c r="N23" s="25"/>
      <c r="O23" s="25"/>
      <c r="P23" s="25"/>
      <c r="Q23" s="25"/>
    </row>
    <row r="24" spans="1:17" x14ac:dyDescent="0.25">
      <c r="A24" s="25"/>
      <c r="B24" s="25"/>
      <c r="C24" s="35" t="str">
        <f>CONCATENATE(SUBSTITUTE(ROUND('NACA profielen'!F9,1),",","."),",",SUBSTITUTE(ROUND('NACA profielen'!G9,1),",","."))</f>
        <v>0,0</v>
      </c>
      <c r="D24" s="35" t="str">
        <f>CONCATENATE(SUBSTITUTE(ROUND('NACA profielen'!I9,1),",","."),",",SUBSTITUTE(ROUND('NACA profielen'!J9,1),",","."))</f>
        <v>0,0</v>
      </c>
      <c r="E24" s="35" t="str">
        <f>CONCATENATE(SUBSTITUTE(ROUND('NACA profielen'!L9,1),",","."),",",SUBSTITUTE(ROUND('NACA profielen'!M9,1),",","."))</f>
        <v>0,0</v>
      </c>
      <c r="F24" s="35" t="str">
        <f>CONCATENATE(SUBSTITUTE(ROUND('NACA profielen'!O9,1),",","."),",",SUBSTITUTE(ROUND('NACA profielen'!P9,1),",","."))</f>
        <v>0,0</v>
      </c>
      <c r="G24" s="35"/>
      <c r="H24" s="35"/>
      <c r="I24" s="25"/>
      <c r="J24" s="35"/>
      <c r="K24" s="35"/>
      <c r="L24" s="25"/>
      <c r="M24" s="35"/>
      <c r="N24" s="35"/>
      <c r="O24" s="25"/>
      <c r="P24" s="25"/>
      <c r="Q24" s="25"/>
    </row>
    <row r="25" spans="1:17" x14ac:dyDescent="0.25">
      <c r="A25" s="25"/>
      <c r="B25" s="25"/>
      <c r="C25" s="35" t="str">
        <f>CONCATENATE(SUBSTITUTE(ROUND('NACA profielen'!F10,1),",","."),",",SUBSTITUTE(ROUND('NACA profielen'!G10,1),",","."))</f>
        <v>2.4,5.5</v>
      </c>
      <c r="D25" s="35" t="str">
        <f>CONCATENATE(SUBSTITUTE(ROUND('NACA profielen'!I10,1),",","."),",",SUBSTITUTE(ROUND('NACA profielen'!J10,1),",","."))</f>
        <v>1.2,2.7</v>
      </c>
      <c r="E25" s="35" t="str">
        <f>CONCATENATE(SUBSTITUTE(ROUND('NACA profielen'!L10,1),",","."),",",SUBSTITUTE(ROUND('NACA profielen'!M10,1),",","."))</f>
        <v>1.2,2.6</v>
      </c>
      <c r="F25" s="35" t="str">
        <f>CONCATENATE(SUBSTITUTE(ROUND('NACA profielen'!O10,1),",","."),",",SUBSTITUTE(ROUND('NACA profielen'!P10,1),",","."))</f>
        <v>1.1,2.4</v>
      </c>
      <c r="G25" s="35"/>
      <c r="H25" s="35"/>
      <c r="I25" s="25"/>
      <c r="J25" s="35"/>
      <c r="K25" s="35"/>
      <c r="L25" s="25"/>
      <c r="M25" s="35"/>
      <c r="N25" s="35"/>
      <c r="O25" s="25"/>
      <c r="P25" s="25"/>
      <c r="Q25" s="25"/>
    </row>
    <row r="26" spans="1:17" x14ac:dyDescent="0.25">
      <c r="A26" s="25"/>
      <c r="B26" s="25"/>
      <c r="C26" s="35" t="str">
        <f>CONCATENATE(SUBSTITUTE(ROUND('NACA profielen'!F11,1),",","."),",",SUBSTITUTE(ROUND('NACA profielen'!G11,1),",","."))</f>
        <v>9.7,11.5</v>
      </c>
      <c r="D26" s="35" t="str">
        <f>CONCATENATE(SUBSTITUTE(ROUND('NACA profielen'!I11,1),",","."),",",SUBSTITUTE(ROUND('NACA profielen'!J11,1),",","."))</f>
        <v>4.8,5.7</v>
      </c>
      <c r="E26" s="35" t="str">
        <f>CONCATENATE(SUBSTITUTE(ROUND('NACA profielen'!L11,1),",","."),",",SUBSTITUTE(ROUND('NACA profielen'!M11,1),",","."))</f>
        <v>4.7,5.5</v>
      </c>
      <c r="F26" s="35" t="str">
        <f>CONCATENATE(SUBSTITUTE(ROUND('NACA profielen'!O11,1),",","."),",",SUBSTITUTE(ROUND('NACA profielen'!P11,1),",","."))</f>
        <v>4.3,5.1</v>
      </c>
      <c r="G26" s="35"/>
      <c r="H26" s="35"/>
      <c r="I26" s="25"/>
      <c r="J26" s="35"/>
      <c r="K26" s="35"/>
      <c r="L26" s="25"/>
      <c r="M26" s="35"/>
      <c r="N26" s="35"/>
      <c r="O26" s="25"/>
      <c r="P26" s="25"/>
      <c r="Q26" s="25"/>
    </row>
    <row r="27" spans="1:17" x14ac:dyDescent="0.25">
      <c r="A27" s="25"/>
      <c r="B27" s="25"/>
      <c r="C27" s="35" t="str">
        <f>CONCATENATE(SUBSTITUTE(ROUND('NACA profielen'!F12,1),",","."),",",SUBSTITUTE(ROUND('NACA profielen'!G12,1),",","."))</f>
        <v>21.7,17.1</v>
      </c>
      <c r="D27" s="35" t="str">
        <f>CONCATENATE(SUBSTITUTE(ROUND('NACA profielen'!I12,1),",","."),",",SUBSTITUTE(ROUND('NACA profielen'!J12,1),",","."))</f>
        <v>10.7,8.5</v>
      </c>
      <c r="E27" s="35" t="str">
        <f>CONCATENATE(SUBSTITUTE(ROUND('NACA profielen'!L12,1),",","."),",",SUBSTITUTE(ROUND('NACA profielen'!M12,1),",","."),";")</f>
        <v>10.5,8.2;</v>
      </c>
      <c r="F27" s="35" t="str">
        <f>CONCATENATE(SUBSTITUTE(ROUND('NACA profielen'!O12,1),",","."),",",SUBSTITUTE(ROUND('NACA profielen'!P12,1),",","."))</f>
        <v>9.6,7.6</v>
      </c>
      <c r="G27" s="35"/>
      <c r="H27" s="35"/>
      <c r="I27" s="25"/>
      <c r="J27" s="35"/>
      <c r="K27" s="35"/>
      <c r="L27" s="25"/>
      <c r="M27" s="35"/>
      <c r="N27" s="35"/>
      <c r="O27" s="25"/>
      <c r="P27" s="25"/>
      <c r="Q27" s="25"/>
    </row>
    <row r="28" spans="1:17" x14ac:dyDescent="0.25">
      <c r="A28" s="25"/>
      <c r="B28" s="25"/>
      <c r="C28" s="35" t="str">
        <f>CONCATENATE(SUBSTITUTE(ROUND('NACA profielen'!F13,1),",","."),",",SUBSTITUTE(ROUND('NACA profielen'!G13,1),",","."))</f>
        <v>38.4,22.2</v>
      </c>
      <c r="D28" s="35" t="str">
        <f>CONCATENATE(SUBSTITUTE(ROUND('NACA profielen'!I13,1),",","."),",",SUBSTITUTE(ROUND('NACA profielen'!J13,1),",","."))</f>
        <v>19,11</v>
      </c>
      <c r="E28" s="35" t="str">
        <f>CONCATENATE(SUBSTITUTE(ROUND('NACA profielen'!L13,1),",","."),",",SUBSTITUTE(ROUND('NACA profielen'!M13,1),",","."))</f>
        <v>18.5,10.7</v>
      </c>
      <c r="F28" s="35" t="str">
        <f>CONCATENATE(SUBSTITUTE(ROUND('NACA profielen'!O13,1),",","."),",",SUBSTITUTE(ROUND('NACA profielen'!P13,1),",","."))</f>
        <v>17.1,9.9</v>
      </c>
      <c r="G28" s="35"/>
      <c r="H28" s="35"/>
      <c r="I28" s="25"/>
      <c r="J28" s="35"/>
      <c r="K28" s="35"/>
      <c r="L28" s="25"/>
      <c r="M28" s="35"/>
      <c r="N28" s="35"/>
      <c r="O28" s="25"/>
      <c r="P28" s="25"/>
      <c r="Q28" s="25"/>
    </row>
    <row r="29" spans="1:17" x14ac:dyDescent="0.25">
      <c r="A29" s="25"/>
      <c r="B29" s="25"/>
      <c r="C29" s="35" t="str">
        <f>CONCATENATE(SUBSTITUTE(ROUND('NACA profielen'!F14,1),",","."),",",SUBSTITUTE(ROUND('NACA profielen'!G14,1),",","."))</f>
        <v>59.7,26.8</v>
      </c>
      <c r="D29" s="35" t="str">
        <f>CONCATENATE(SUBSTITUTE(ROUND('NACA profielen'!I14,1),",","."),",",SUBSTITUTE(ROUND('NACA profielen'!J14,1),",","."))</f>
        <v>29.6,13.3</v>
      </c>
      <c r="E29" s="35" t="str">
        <f>CONCATENATE(SUBSTITUTE(ROUND('NACA profielen'!L14,1),",","."),",",SUBSTITUTE(ROUND('NACA profielen'!M14,1),",","."))</f>
        <v>28.8,12.9</v>
      </c>
      <c r="F29" s="35" t="str">
        <f>CONCATENATE(SUBSTITUTE(ROUND('NACA profielen'!O14,1),",","."),",",SUBSTITUTE(ROUND('NACA profielen'!P14,1),",","."))</f>
        <v>26.5,11.9</v>
      </c>
      <c r="G29" s="35"/>
      <c r="H29" s="35"/>
      <c r="I29" s="25"/>
      <c r="J29" s="35"/>
      <c r="K29" s="35"/>
      <c r="L29" s="25"/>
      <c r="M29" s="35"/>
      <c r="N29" s="35"/>
      <c r="O29" s="25"/>
      <c r="P29" s="25"/>
      <c r="Q29" s="25"/>
    </row>
    <row r="30" spans="1:17" x14ac:dyDescent="0.25">
      <c r="A30" s="25"/>
      <c r="B30" s="25"/>
      <c r="C30" s="35" t="str">
        <f>CONCATENATE(SUBSTITUTE(ROUND('NACA profielen'!F15,1),",","."),",",SUBSTITUTE(ROUND('NACA profielen'!G15,1),",","."))</f>
        <v>85.5,30.7</v>
      </c>
      <c r="D30" s="35" t="str">
        <f>CONCATENATE(SUBSTITUTE(ROUND('NACA profielen'!I15,1),",","."),",",SUBSTITUTE(ROUND('NACA profielen'!J15,1),",","."))</f>
        <v>42.4,15.2</v>
      </c>
      <c r="E30" s="35" t="str">
        <f>CONCATENATE(SUBSTITUTE(ROUND('NACA profielen'!L15,1),",","."),",",SUBSTITUTE(ROUND('NACA profielen'!M15,1),",","."))</f>
        <v>41.3,14.8</v>
      </c>
      <c r="F30" s="35" t="str">
        <f>CONCATENATE(SUBSTITUTE(ROUND('NACA profielen'!O15,1),",","."),",",SUBSTITUTE(ROUND('NACA profielen'!P15,1),",","."))</f>
        <v>38,13.7</v>
      </c>
      <c r="G30" s="35"/>
      <c r="H30" s="35"/>
      <c r="I30" s="25"/>
      <c r="J30" s="35"/>
      <c r="K30" s="35"/>
      <c r="L30" s="25"/>
      <c r="M30" s="35"/>
      <c r="N30" s="35"/>
      <c r="O30" s="25"/>
      <c r="P30" s="25"/>
      <c r="Q30" s="25"/>
    </row>
    <row r="31" spans="1:17" x14ac:dyDescent="0.25">
      <c r="A31" s="25"/>
      <c r="B31" s="25"/>
      <c r="C31" s="35" t="str">
        <f>CONCATENATE(SUBSTITUTE(ROUND('NACA profielen'!F16,1),",","."),",",SUBSTITUTE(ROUND('NACA profielen'!G16,1),",","."))</f>
        <v>115.6,34</v>
      </c>
      <c r="D31" s="35" t="str">
        <f>CONCATENATE(SUBSTITUTE(ROUND('NACA profielen'!I16,1),",","."),",",SUBSTITUTE(ROUND('NACA profielen'!J16,1),",","."))</f>
        <v>57.3,16.8</v>
      </c>
      <c r="E31" s="35" t="str">
        <f>CONCATENATE(SUBSTITUTE(ROUND('NACA profielen'!L16,1),",","."),",",SUBSTITUTE(ROUND('NACA profielen'!M16,1),",","."))</f>
        <v>55.8,16.4</v>
      </c>
      <c r="F31" s="35" t="str">
        <f>CONCATENATE(SUBSTITUTE(ROUND('NACA profielen'!O16,1),",","."),",",SUBSTITUTE(ROUND('NACA profielen'!P16,1),",","."))</f>
        <v>51.4,15.1</v>
      </c>
      <c r="G31" s="35"/>
      <c r="H31" s="35"/>
      <c r="I31" s="25"/>
      <c r="J31" s="35"/>
      <c r="K31" s="35"/>
      <c r="L31" s="25"/>
      <c r="M31" s="35"/>
      <c r="N31" s="35"/>
      <c r="O31" s="25"/>
      <c r="P31" s="25"/>
      <c r="Q31" s="25"/>
    </row>
    <row r="32" spans="1:17" x14ac:dyDescent="0.25">
      <c r="A32" s="25"/>
      <c r="B32" s="25"/>
      <c r="C32" s="35" t="str">
        <f>CONCATENATE(SUBSTITUTE(ROUND('NACA profielen'!F17,1),",","."),",",SUBSTITUTE(ROUND('NACA profielen'!G17,1),",","."))</f>
        <v>149.9,36.3</v>
      </c>
      <c r="D32" s="35" t="str">
        <f>CONCATENATE(SUBSTITUTE(ROUND('NACA profielen'!I17,1),",","."),",",SUBSTITUTE(ROUND('NACA profielen'!J17,1),",","."))</f>
        <v>74.2,18</v>
      </c>
      <c r="E32" s="35" t="str">
        <f>CONCATENATE(SUBSTITUTE(ROUND('NACA profielen'!L17,1),",","."),",",SUBSTITUTE(ROUND('NACA profielen'!M17,1),",","."))</f>
        <v>72.3,17.5</v>
      </c>
      <c r="F32" s="35" t="str">
        <f>CONCATENATE(SUBSTITUTE(ROUND('NACA profielen'!O17,1),",","."),",",SUBSTITUTE(ROUND('NACA profielen'!P17,1),",","."))</f>
        <v>66.6,16.1</v>
      </c>
      <c r="G32" s="35"/>
      <c r="H32" s="35"/>
      <c r="I32" s="25"/>
      <c r="J32" s="35"/>
      <c r="K32" s="35"/>
      <c r="L32" s="25"/>
      <c r="M32" s="35"/>
      <c r="N32" s="35"/>
      <c r="O32" s="25"/>
      <c r="P32" s="25"/>
      <c r="Q32" s="25"/>
    </row>
    <row r="33" spans="1:17" x14ac:dyDescent="0.25">
      <c r="A33" s="25"/>
      <c r="B33" s="25"/>
      <c r="C33" s="35" t="str">
        <f>CONCATENATE(SUBSTITUTE(ROUND('NACA profielen'!F18,1),",","."),",",SUBSTITUTE(ROUND('NACA profielen'!G18,1),",","."))</f>
        <v>188,37.8</v>
      </c>
      <c r="D33" s="35" t="str">
        <f>CONCATENATE(SUBSTITUTE(ROUND('NACA profielen'!I18,1),",","."),",",SUBSTITUTE(ROUND('NACA profielen'!J18,1),",","."))</f>
        <v>93.1,18.7</v>
      </c>
      <c r="E33" s="35" t="str">
        <f>CONCATENATE(SUBSTITUTE(ROUND('NACA profielen'!L18,1),",","."),",",SUBSTITUTE(ROUND('NACA profielen'!M18,1),",","."))</f>
        <v>90.7,18.3</v>
      </c>
      <c r="F33" s="35" t="str">
        <f>CONCATENATE(SUBSTITUTE(ROUND('NACA profielen'!O18,1),",","."),",",SUBSTITUTE(ROUND('NACA profielen'!P18,1),",","."))</f>
        <v>83.6,16.8</v>
      </c>
      <c r="G33" s="35"/>
      <c r="H33" s="35"/>
      <c r="I33" s="25"/>
      <c r="J33" s="35"/>
      <c r="K33" s="35"/>
      <c r="L33" s="25"/>
      <c r="M33" s="35"/>
      <c r="N33" s="35"/>
      <c r="O33" s="25"/>
      <c r="P33" s="25"/>
      <c r="Q33" s="25"/>
    </row>
    <row r="34" spans="1:17" x14ac:dyDescent="0.25">
      <c r="A34" s="25"/>
      <c r="B34" s="25"/>
      <c r="C34" s="35" t="str">
        <f>CONCATENATE(SUBSTITUTE(ROUND('NACA profielen'!F19,1),",","."),",",SUBSTITUTE(ROUND('NACA profielen'!G19,1),",","."))</f>
        <v>229.8,38.4</v>
      </c>
      <c r="D34" s="35" t="str">
        <f>CONCATENATE(SUBSTITUTE(ROUND('NACA profielen'!I19,1),",","."),",",SUBSTITUTE(ROUND('NACA profielen'!J19,1),",","."))</f>
        <v>113.9,19</v>
      </c>
      <c r="E34" s="35" t="str">
        <f>CONCATENATE(SUBSTITUTE(ROUND('NACA profielen'!L19,1),",","."),",",SUBSTITUTE(ROUND('NACA profielen'!M19,1),",","."))</f>
        <v>110.9,18.5</v>
      </c>
      <c r="F34" s="35" t="str">
        <f>CONCATENATE(SUBSTITUTE(ROUND('NACA profielen'!O19,1),",","."),",",SUBSTITUTE(ROUND('NACA profielen'!P19,1),",","."))</f>
        <v>102.1,17.1</v>
      </c>
      <c r="G34" s="35"/>
      <c r="H34" s="35"/>
      <c r="I34" s="25"/>
      <c r="J34" s="35"/>
      <c r="K34" s="35"/>
      <c r="L34" s="25"/>
      <c r="M34" s="35"/>
      <c r="N34" s="35"/>
      <c r="O34" s="25"/>
      <c r="P34" s="25"/>
      <c r="Q34" s="25"/>
    </row>
    <row r="35" spans="1:17" x14ac:dyDescent="0.25">
      <c r="A35" s="25"/>
      <c r="B35" s="25"/>
      <c r="C35" s="35" t="str">
        <f>CONCATENATE(SUBSTITUTE(ROUND('NACA profielen'!F20,1),",","."),",",SUBSTITUTE(ROUND('NACA profielen'!G20,1),",","."))</f>
        <v>275.1,38.1</v>
      </c>
      <c r="D35" s="35" t="str">
        <f>CONCATENATE(SUBSTITUTE(ROUND('NACA profielen'!I20,1),",","."),",",SUBSTITUTE(ROUND('NACA profielen'!J20,1),",","."))</f>
        <v>136.3,18.9</v>
      </c>
      <c r="E35" s="35" t="str">
        <f>CONCATENATE(SUBSTITUTE(ROUND('NACA profielen'!L20,1),",","."),",",SUBSTITUTE(ROUND('NACA profielen'!M20,1),",","."))</f>
        <v>132.8,18.4</v>
      </c>
      <c r="F35" s="35" t="str">
        <f>CONCATENATE(SUBSTITUTE(ROUND('NACA profielen'!O20,1),",","."),",",SUBSTITUTE(ROUND('NACA profielen'!P20,1),",","."))</f>
        <v>122.3,16.9</v>
      </c>
      <c r="G35" s="35"/>
      <c r="H35" s="35"/>
      <c r="I35" s="25"/>
      <c r="J35" s="35"/>
      <c r="K35" s="35"/>
      <c r="L35" s="25"/>
      <c r="M35" s="35"/>
      <c r="N35" s="35"/>
      <c r="O35" s="25"/>
      <c r="P35" s="25"/>
      <c r="Q35" s="25"/>
    </row>
    <row r="36" spans="1:17" x14ac:dyDescent="0.25">
      <c r="A36" s="25"/>
      <c r="B36" s="25"/>
      <c r="C36" s="35" t="str">
        <f>CONCATENATE(SUBSTITUTE(ROUND('NACA profielen'!F21,1),",","."),",",SUBSTITUTE(ROUND('NACA profielen'!G21,1),",","."))</f>
        <v>323.5,36.8</v>
      </c>
      <c r="D36" s="35" t="str">
        <f>CONCATENATE(SUBSTITUTE(ROUND('NACA profielen'!I21,1),",","."),",",SUBSTITUTE(ROUND('NACA profielen'!J21,1),",","."))</f>
        <v>160.3,18.2</v>
      </c>
      <c r="E36" s="35" t="str">
        <f>CONCATENATE(SUBSTITUTE(ROUND('NACA profielen'!L21,1),",","."),",",SUBSTITUTE(ROUND('NACA profielen'!M21,1),",","."))</f>
        <v>156.1,17.8</v>
      </c>
      <c r="F36" s="35" t="str">
        <f>CONCATENATE(SUBSTITUTE(ROUND('NACA profielen'!O21,1),",","."),",",SUBSTITUTE(ROUND('NACA profielen'!P21,1),",","."))</f>
        <v>143.8,16.4</v>
      </c>
      <c r="G36" s="35"/>
      <c r="H36" s="35"/>
      <c r="I36" s="25"/>
      <c r="J36" s="35"/>
      <c r="K36" s="35"/>
      <c r="L36" s="25"/>
      <c r="M36" s="35"/>
      <c r="N36" s="35"/>
      <c r="O36" s="25"/>
      <c r="P36" s="25"/>
      <c r="Q36" s="25"/>
    </row>
    <row r="37" spans="1:17" x14ac:dyDescent="0.25">
      <c r="A37" s="25"/>
      <c r="B37" s="25"/>
      <c r="C37" s="35" t="str">
        <f>CONCATENATE(SUBSTITUTE(ROUND('NACA profielen'!F22,1),",","."),",",SUBSTITUTE(ROUND('NACA profielen'!G22,1),",","."))</f>
        <v>374.7,34.7</v>
      </c>
      <c r="D37" s="35" t="str">
        <f>CONCATENATE(SUBSTITUTE(ROUND('NACA profielen'!I22,1),",","."),",",SUBSTITUTE(ROUND('NACA profielen'!J22,1),",","."))</f>
        <v>185.6,17.2</v>
      </c>
      <c r="E37" s="35" t="str">
        <f>CONCATENATE(SUBSTITUTE(ROUND('NACA profielen'!L22,1),",","."),",",SUBSTITUTE(ROUND('NACA profielen'!M22,1),",","."))</f>
        <v>180.9,16.7</v>
      </c>
      <c r="F37" s="35" t="str">
        <f>CONCATENATE(SUBSTITUTE(ROUND('NACA profielen'!O22,1),",","."),",",SUBSTITUTE(ROUND('NACA profielen'!P22,1),",","."))</f>
        <v>166.5,15.4</v>
      </c>
      <c r="G37" s="35"/>
      <c r="H37" s="35"/>
      <c r="I37" s="25"/>
      <c r="J37" s="35"/>
      <c r="K37" s="35"/>
      <c r="L37" s="25"/>
      <c r="M37" s="35"/>
      <c r="N37" s="35"/>
      <c r="O37" s="25"/>
      <c r="P37" s="25"/>
      <c r="Q37" s="25"/>
    </row>
    <row r="38" spans="1:17" x14ac:dyDescent="0.25">
      <c r="A38" s="25"/>
      <c r="B38" s="25"/>
      <c r="C38" s="35" t="str">
        <f>CONCATENATE(SUBSTITUTE(ROUND('NACA profielen'!F23,1),",","."),",",SUBSTITUTE(ROUND('NACA profielen'!G23,1),",","."))</f>
        <v>428.5,31.8</v>
      </c>
      <c r="D38" s="35" t="str">
        <f>CONCATENATE(SUBSTITUTE(ROUND('NACA profielen'!I23,1),",","."),",",SUBSTITUTE(ROUND('NACA profielen'!J23,1),",","."))</f>
        <v>212.3,15.7</v>
      </c>
      <c r="E38" s="35" t="str">
        <f>CONCATENATE(SUBSTITUTE(ROUND('NACA profielen'!L23,1),",","."),",",SUBSTITUTE(ROUND('NACA profielen'!M23,1),",","."))</f>
        <v>206.8,15.3</v>
      </c>
      <c r="F38" s="35" t="str">
        <f>CONCATENATE(SUBSTITUTE(ROUND('NACA profielen'!O23,1),",","."),",",SUBSTITUTE(ROUND('NACA profielen'!P23,1),",","."))</f>
        <v>190.4,14.1</v>
      </c>
      <c r="G38" s="35"/>
      <c r="H38" s="35"/>
      <c r="I38" s="25"/>
      <c r="J38" s="35"/>
      <c r="K38" s="35"/>
      <c r="L38" s="25"/>
      <c r="M38" s="35"/>
      <c r="N38" s="35"/>
      <c r="O38" s="25"/>
      <c r="P38" s="25"/>
      <c r="Q38" s="25"/>
    </row>
    <row r="39" spans="1:17" x14ac:dyDescent="0.25">
      <c r="A39" s="25"/>
      <c r="B39" s="25"/>
      <c r="C39" s="35" t="str">
        <f>CONCATENATE(SUBSTITUTE(ROUND('NACA profielen'!F24,1),",","."),",",SUBSTITUTE(ROUND('NACA profielen'!G24,1),",","."))</f>
        <v>484.4,28.1</v>
      </c>
      <c r="D39" s="35" t="str">
        <f>CONCATENATE(SUBSTITUTE(ROUND('NACA profielen'!I24,1),",","."),",",SUBSTITUTE(ROUND('NACA profielen'!J24,1),",","."))</f>
        <v>240,13.9</v>
      </c>
      <c r="E39" s="35" t="str">
        <f>CONCATENATE(SUBSTITUTE(ROUND('NACA profielen'!L24,1),",","."),",",SUBSTITUTE(ROUND('NACA profielen'!M24,1),",","."))</f>
        <v>233.8,13.5</v>
      </c>
      <c r="F39" s="35" t="str">
        <f>CONCATENATE(SUBSTITUTE(ROUND('NACA profielen'!O24,1),",","."),",",SUBSTITUTE(ROUND('NACA profielen'!P24,1),",","."))</f>
        <v>215.3,12.5</v>
      </c>
      <c r="G39" s="35"/>
      <c r="H39" s="35"/>
      <c r="I39" s="25"/>
      <c r="J39" s="35"/>
      <c r="K39" s="35"/>
      <c r="L39" s="25"/>
      <c r="M39" s="35"/>
      <c r="N39" s="35"/>
      <c r="O39" s="25"/>
      <c r="P39" s="25"/>
      <c r="Q39" s="25"/>
    </row>
    <row r="40" spans="1:17" x14ac:dyDescent="0.25">
      <c r="A40" s="25"/>
      <c r="B40" s="25"/>
      <c r="C40" s="35" t="str">
        <f>CONCATENATE(SUBSTITUTE(ROUND('NACA profielen'!F25,1),",","."),",",SUBSTITUTE(ROUND('NACA profielen'!G25,1),",","."))</f>
        <v>542.3,23.7</v>
      </c>
      <c r="D40" s="35" t="str">
        <f>CONCATENATE(SUBSTITUTE(ROUND('NACA profielen'!I25,1),",","."),",",SUBSTITUTE(ROUND('NACA profielen'!J25,1),",","."))</f>
        <v>268.6,11.7</v>
      </c>
      <c r="E40" s="35" t="str">
        <f>CONCATENATE(SUBSTITUTE(ROUND('NACA profielen'!L25,1),",","."),",",SUBSTITUTE(ROUND('NACA profielen'!M25,1),",","."))</f>
        <v>261.7,11.4</v>
      </c>
      <c r="F40" s="35" t="str">
        <f>CONCATENATE(SUBSTITUTE(ROUND('NACA profielen'!O25,1),",","."),",",SUBSTITUTE(ROUND('NACA profielen'!P25,1),",","."))</f>
        <v>241,10.5</v>
      </c>
      <c r="G40" s="35"/>
      <c r="H40" s="35"/>
      <c r="I40" s="25"/>
      <c r="J40" s="35"/>
      <c r="K40" s="35"/>
      <c r="L40" s="25"/>
      <c r="M40" s="35"/>
      <c r="N40" s="35"/>
      <c r="O40" s="25"/>
      <c r="P40" s="25"/>
      <c r="Q40" s="25"/>
    </row>
    <row r="41" spans="1:17" x14ac:dyDescent="0.25">
      <c r="A41" s="25"/>
      <c r="B41" s="25"/>
      <c r="C41" s="35" t="str">
        <f>CONCATENATE(SUBSTITUTE(ROUND('NACA profielen'!F26,1),",","."),",",SUBSTITUTE(ROUND('NACA profielen'!G26,1),",","."))</f>
        <v>601.6,18.7</v>
      </c>
      <c r="D41" s="35" t="str">
        <f>CONCATENATE(SUBSTITUTE(ROUND('NACA profielen'!I26,1),",","."),",",SUBSTITUTE(ROUND('NACA profielen'!J26,1),",","."))</f>
        <v>298,9.3</v>
      </c>
      <c r="E41" s="35" t="str">
        <f>CONCATENATE(SUBSTITUTE(ROUND('NACA profielen'!L26,1),",","."),",",SUBSTITUTE(ROUND('NACA profielen'!M26,1),",","."))</f>
        <v>290.3,9</v>
      </c>
      <c r="F41" s="35" t="str">
        <f>CONCATENATE(SUBSTITUTE(ROUND('NACA profielen'!O26,1),",","."),",",SUBSTITUTE(ROUND('NACA profielen'!P26,1),",","."))</f>
        <v>267.3,8.3</v>
      </c>
      <c r="G41" s="35"/>
      <c r="H41" s="35"/>
      <c r="I41" s="25"/>
      <c r="J41" s="35"/>
      <c r="K41" s="35"/>
      <c r="L41" s="25"/>
      <c r="M41" s="35"/>
      <c r="N41" s="35"/>
      <c r="O41" s="25"/>
      <c r="P41" s="25"/>
      <c r="Q41" s="25"/>
    </row>
    <row r="42" spans="1:17" x14ac:dyDescent="0.25">
      <c r="A42" s="25"/>
      <c r="B42" s="25"/>
      <c r="C42" s="35" t="str">
        <f>CONCATENATE(SUBSTITUTE(ROUND('NACA profielen'!F27,1),",","."),",",SUBSTITUTE(ROUND('NACA profielen'!G27,1),",","."))</f>
        <v>662,13.1</v>
      </c>
      <c r="D42" s="35" t="str">
        <f>CONCATENATE(SUBSTITUTE(ROUND('NACA profielen'!I27,1),",","."),",",SUBSTITUTE(ROUND('NACA profielen'!J27,1),",","."))</f>
        <v>327.9,6.5</v>
      </c>
      <c r="E42" s="35" t="str">
        <f>CONCATENATE(SUBSTITUTE(ROUND('NACA profielen'!L27,1),",","."),",",SUBSTITUTE(ROUND('NACA profielen'!M27,1),",","."))</f>
        <v>319.5,6.3</v>
      </c>
      <c r="F42" s="35" t="str">
        <f>CONCATENATE(SUBSTITUTE(ROUND('NACA profielen'!O27,1),",","."),",",SUBSTITUTE(ROUND('NACA profielen'!P27,1),",","."))</f>
        <v>294.2,5.8</v>
      </c>
      <c r="G42" s="35"/>
      <c r="H42" s="35"/>
      <c r="I42" s="25"/>
      <c r="J42" s="35"/>
      <c r="K42" s="35"/>
      <c r="L42" s="25"/>
      <c r="M42" s="35"/>
      <c r="N42" s="35"/>
      <c r="O42" s="25"/>
      <c r="P42" s="25"/>
      <c r="Q42" s="25"/>
    </row>
    <row r="43" spans="1:17" x14ac:dyDescent="0.25">
      <c r="A43" s="25"/>
      <c r="B43" s="25"/>
      <c r="C43" s="35" t="str">
        <f>CONCATENATE(SUBSTITUTE(ROUND('NACA profielen'!F28,1),",","."),",",SUBSTITUTE(ROUND('NACA profielen'!G28,1),",","."))</f>
        <v>723.2,6.9</v>
      </c>
      <c r="D43" s="35" t="str">
        <f>CONCATENATE(SUBSTITUTE(ROUND('NACA profielen'!I28,1),",","."),",",SUBSTITUTE(ROUND('NACA profielen'!J28,1),",","."))</f>
        <v>358.3,3.4</v>
      </c>
      <c r="E43" s="35" t="str">
        <f>CONCATENATE(SUBSTITUTE(ROUND('NACA profielen'!L28,1),",","."),",",SUBSTITUTE(ROUND('NACA profielen'!M28,1),",","."))</f>
        <v>349,3.3</v>
      </c>
      <c r="F43" s="35" t="str">
        <f>CONCATENATE(SUBSTITUTE(ROUND('NACA profielen'!O28,1),",","."),",",SUBSTITUTE(ROUND('NACA profielen'!P28,1),",","."))</f>
        <v>321.4,3.1</v>
      </c>
      <c r="G43" s="35"/>
      <c r="H43" s="35"/>
      <c r="I43" s="25"/>
      <c r="J43" s="35"/>
      <c r="K43" s="35"/>
      <c r="L43" s="25"/>
      <c r="M43" s="35"/>
      <c r="N43" s="35"/>
      <c r="O43" s="25"/>
      <c r="P43" s="25"/>
      <c r="Q43" s="25"/>
    </row>
    <row r="44" spans="1:17" x14ac:dyDescent="0.25">
      <c r="A44" s="25"/>
      <c r="B44" s="25"/>
      <c r="C44" s="35" t="str">
        <f>CONCATENATE(SUBSTITUTE(ROUND('NACA profielen'!F29,1),",","."),",",SUBSTITUTE(ROUND('NACA profielen'!G29,1),",","."))</f>
        <v>784.8,0</v>
      </c>
      <c r="D44" s="35" t="str">
        <f>CONCATENATE(SUBSTITUTE(ROUND('NACA profielen'!I29,1),",","."),",",SUBSTITUTE(ROUND('NACA profielen'!J29,1),",","."))</f>
        <v>388.8,0</v>
      </c>
      <c r="E44" s="35" t="str">
        <f>CONCATENATE(SUBSTITUTE(ROUND('NACA profielen'!L29,1),",","."),",",SUBSTITUTE(ROUND('NACA profielen'!M29,1),",","."))</f>
        <v>378.8,0</v>
      </c>
      <c r="F44" s="35" t="str">
        <f>CONCATENATE(SUBSTITUTE(ROUND('NACA profielen'!O29,1),",","."),",",SUBSTITUTE(ROUND('NACA profielen'!P29,1),",","."))</f>
        <v>348.8,0</v>
      </c>
      <c r="G44" s="35"/>
      <c r="H44" s="35"/>
      <c r="I44" s="25"/>
      <c r="J44" s="35"/>
      <c r="K44" s="35"/>
      <c r="L44" s="25"/>
      <c r="M44" s="35"/>
      <c r="N44" s="35"/>
      <c r="O44" s="25"/>
      <c r="P44" s="25"/>
      <c r="Q44" s="25"/>
    </row>
    <row r="45" spans="1:17" x14ac:dyDescent="0.25">
      <c r="A45" s="25"/>
      <c r="B45" s="25"/>
      <c r="C45" s="25"/>
      <c r="D45" s="25"/>
      <c r="E45" s="25"/>
      <c r="F45" s="25"/>
      <c r="G45" s="25"/>
      <c r="H45" s="25"/>
      <c r="I45" s="25"/>
      <c r="J45" s="25"/>
      <c r="K45" s="25"/>
      <c r="L45" s="25"/>
      <c r="M45" s="25"/>
      <c r="N45" s="25"/>
      <c r="O45" s="25"/>
      <c r="P45" s="25"/>
      <c r="Q45" s="25"/>
    </row>
    <row r="46" spans="1:17" x14ac:dyDescent="0.25">
      <c r="A46" s="18"/>
      <c r="B46" s="18"/>
      <c r="C46" s="18"/>
      <c r="D46" s="18"/>
      <c r="E46" s="18"/>
      <c r="F46" s="18"/>
      <c r="G46" s="18"/>
      <c r="H46" s="18"/>
      <c r="I46" s="18"/>
      <c r="J46" s="18"/>
      <c r="K46" s="18"/>
      <c r="L46" s="18"/>
      <c r="M46" s="18"/>
      <c r="N46" s="18"/>
      <c r="O46" s="18"/>
      <c r="P46" s="18"/>
      <c r="Q46" s="18"/>
    </row>
    <row r="47" spans="1:17" x14ac:dyDescent="0.25">
      <c r="A47" s="18"/>
      <c r="B47" s="18"/>
      <c r="C47" s="18"/>
      <c r="D47" s="18"/>
      <c r="E47" s="18"/>
      <c r="F47" s="18"/>
      <c r="G47" s="18"/>
      <c r="H47" s="18"/>
      <c r="I47" s="18"/>
      <c r="J47" s="18"/>
      <c r="K47" s="18"/>
      <c r="L47" s="18"/>
      <c r="M47" s="18"/>
      <c r="N47" s="18"/>
      <c r="O47" s="18"/>
      <c r="P47" s="18"/>
      <c r="Q47" s="18"/>
    </row>
  </sheetData>
  <mergeCells count="5">
    <mergeCell ref="C21:G21"/>
    <mergeCell ref="C6:F6"/>
    <mergeCell ref="C3:G3"/>
    <mergeCell ref="C4:G4"/>
    <mergeCell ref="C5: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Roerblad parameters</vt:lpstr>
      <vt:lpstr>NACA profielen</vt:lpstr>
      <vt:lpstr>AutoCad</vt:lpstr>
      <vt:lpstr>_krd0</vt:lpstr>
      <vt:lpstr>_krd1</vt:lpstr>
      <vt:lpstr>_krd2</vt:lpstr>
      <vt:lpstr>_krd3</vt:lpstr>
      <vt:lpstr>naca</vt:lpstr>
      <vt:lpstr>nrpoints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Uitrekenen NACA profielen</dc:title>
  <dc:subject>il Cigno</dc:subject>
  <dc:creator>Timo Giling 2013</dc:creator>
  <dc:description>Timo Giling
Plataanstraat 12
5331 GN  Kerkdriel</dc:description>
  <cp:lastModifiedBy>igor croiset</cp:lastModifiedBy>
  <cp:lastPrinted>2012-11-16T11:09:00Z</cp:lastPrinted>
  <dcterms:created xsi:type="dcterms:W3CDTF">2011-02-12T14:19:32Z</dcterms:created>
  <dcterms:modified xsi:type="dcterms:W3CDTF">2026-01-18T16:48:05Z</dcterms:modified>
</cp:coreProperties>
</file>