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amja\Documents\Zeilersforum\"/>
    </mc:Choice>
  </mc:AlternateContent>
  <xr:revisionPtr revIDLastSave="0" documentId="13_ncr:1_{282AF6E8-9ADF-486F-9A7C-9122705DD8F0}" xr6:coauthVersionLast="46" xr6:coauthVersionMax="46" xr10:uidLastSave="{00000000-0000-0000-0000-000000000000}"/>
  <bookViews>
    <workbookView xWindow="28680" yWindow="-120" windowWidth="38640" windowHeight="24240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E10" i="1" l="1"/>
  <c r="C10" i="1" s="1"/>
  <c r="C8" i="1"/>
  <c r="E8" i="1"/>
  <c r="K6" i="1"/>
  <c r="D51" i="1" l="1"/>
  <c r="C12" i="1" l="1"/>
  <c r="C27" i="1"/>
  <c r="D31" i="1" s="1"/>
  <c r="F45" i="1"/>
  <c r="D30" i="1" l="1"/>
  <c r="C35" i="1" s="1"/>
  <c r="D32" i="1"/>
  <c r="C24" i="1"/>
  <c r="E32" i="1" s="1"/>
  <c r="C23" i="1"/>
  <c r="F31" i="1" s="1"/>
  <c r="E5" i="1"/>
  <c r="E15" i="1"/>
  <c r="E30" i="1" l="1"/>
  <c r="E31" i="1"/>
  <c r="F32" i="1"/>
  <c r="F30" i="1"/>
  <c r="F34" i="1" s="1"/>
  <c r="F35" i="1" s="1"/>
  <c r="C16" i="1"/>
  <c r="C13" i="1" l="1"/>
  <c r="C17" i="1" s="1"/>
  <c r="K4" i="1"/>
  <c r="K5" i="1" l="1"/>
  <c r="K7" i="1"/>
  <c r="K8" i="1" s="1"/>
  <c r="C18" i="1"/>
  <c r="F37" i="1" s="1"/>
  <c r="E17" i="1"/>
  <c r="F44" i="1" l="1"/>
  <c r="F46" i="1" s="1"/>
  <c r="F53" i="1" s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Jaap</author>
  </authors>
  <commentList>
    <comment ref="E12" authorId="0" shapeId="0" xr:uid="{5379484C-A9F3-4168-A39D-61BB32B2FE35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Volledig inelastische botsing? Waar blijft die energie?</t>
        </r>
      </text>
    </comment>
    <comment ref="G17" authorId="0" shapeId="0" xr:uid="{0D35108E-C9A7-487B-8DED-962AC570F60D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Wat is nou het model? Wordt de </t>
        </r>
        <r>
          <rPr>
            <b/>
            <i/>
            <sz val="9"/>
            <color indexed="81"/>
            <rFont val="Tahoma"/>
            <family val="2"/>
          </rPr>
          <t>translatie</t>
        </r>
        <r>
          <rPr>
            <sz val="9"/>
            <color indexed="81"/>
            <rFont val="Tahoma"/>
            <family val="2"/>
          </rPr>
          <t xml:space="preserve"> van het schip gestopt door een remkracht, of wordt de </t>
        </r>
        <r>
          <rPr>
            <b/>
            <i/>
            <sz val="9"/>
            <color indexed="81"/>
            <rFont val="Tahoma"/>
            <family val="2"/>
          </rPr>
          <t>rotatie</t>
        </r>
        <r>
          <rPr>
            <sz val="9"/>
            <color indexed="81"/>
            <rFont val="Tahoma"/>
            <family val="2"/>
          </rPr>
          <t xml:space="preserve"> van het schip gestopt door een "hydrostatische veer"?</t>
        </r>
      </text>
    </comment>
  </commentList>
</comments>
</file>

<file path=xl/sharedStrings.xml><?xml version="1.0" encoding="utf-8"?>
<sst xmlns="http://schemas.openxmlformats.org/spreadsheetml/2006/main" count="98" uniqueCount="71">
  <si>
    <t>Waterverplaatsing</t>
  </si>
  <si>
    <t>Kielmassa</t>
  </si>
  <si>
    <t>Diepgang</t>
  </si>
  <si>
    <t>cm</t>
  </si>
  <si>
    <t>m</t>
  </si>
  <si>
    <t>rompsnelheid</t>
  </si>
  <si>
    <t>m/s</t>
  </si>
  <si>
    <t>Massa romp</t>
  </si>
  <si>
    <t>E kin</t>
  </si>
  <si>
    <t>J</t>
  </si>
  <si>
    <t>graden</t>
  </si>
  <si>
    <t>rad</t>
  </si>
  <si>
    <t>remweg</t>
  </si>
  <si>
    <t>remkracht</t>
  </si>
  <si>
    <t>N</t>
  </si>
  <si>
    <t>Koppel</t>
  </si>
  <si>
    <t>Nm</t>
  </si>
  <si>
    <t>M 20</t>
  </si>
  <si>
    <t>ds</t>
  </si>
  <si>
    <t>As</t>
  </si>
  <si>
    <t>mm2</t>
  </si>
  <si>
    <t>Is</t>
  </si>
  <si>
    <t>mm4</t>
  </si>
  <si>
    <t>a1</t>
  </si>
  <si>
    <t>a2</t>
  </si>
  <si>
    <t>a3</t>
  </si>
  <si>
    <t>I</t>
  </si>
  <si>
    <t>a2A</t>
  </si>
  <si>
    <t>I total</t>
  </si>
  <si>
    <t>Wb</t>
  </si>
  <si>
    <t>mm3</t>
  </si>
  <si>
    <t>N/mm2</t>
  </si>
  <si>
    <t>Tau</t>
  </si>
  <si>
    <t>F</t>
  </si>
  <si>
    <t>A shear</t>
  </si>
  <si>
    <t>Factor op rompsnelheid</t>
  </si>
  <si>
    <t>kn</t>
  </si>
  <si>
    <t>kg</t>
  </si>
  <si>
    <t>mm</t>
  </si>
  <si>
    <t xml:space="preserve">draaipunt op </t>
  </si>
  <si>
    <t>Lengte kielbox</t>
  </si>
  <si>
    <t>draaipunt</t>
  </si>
  <si>
    <t>Krappies, gezien de vele aannames.</t>
  </si>
  <si>
    <t>Sigma trek in de voorste bout</t>
  </si>
  <si>
    <t>Inschatting trekkracht bouten bij aanvaring</t>
  </si>
  <si>
    <t>Inschatting uittrekken draad uit de kieldoos</t>
  </si>
  <si>
    <t>Inschatting krachten kielconstructie bij aanvaring onderwater</t>
  </si>
  <si>
    <t>aanname</t>
  </si>
  <si>
    <t>Duikhoek</t>
  </si>
  <si>
    <t>aanname: het duikkoppel loopt lineair op met de duikhoek Dit is niet zo. De werkelijkheid is erger!</t>
  </si>
  <si>
    <t>% van de achterkant</t>
  </si>
  <si>
    <t>uiterste vezel vanaf draaipunt</t>
  </si>
  <si>
    <t>s</t>
  </si>
  <si>
    <t>m/s2</t>
  </si>
  <si>
    <t>Rm</t>
  </si>
  <si>
    <t>R 0.2</t>
  </si>
  <si>
    <t>Shear strength</t>
  </si>
  <si>
    <t>AISI 316L / 1,4404</t>
  </si>
  <si>
    <t>Sf</t>
  </si>
  <si>
    <t>ongeveer</t>
  </si>
  <si>
    <t>MCB boek</t>
  </si>
  <si>
    <t>OK</t>
  </si>
  <si>
    <t>R0.2</t>
  </si>
  <si>
    <t>Bout A4-70</t>
  </si>
  <si>
    <t>Jeveka Boek</t>
  </si>
  <si>
    <t>a=</t>
  </si>
  <si>
    <t>dt=</t>
  </si>
  <si>
    <t>Volgens Principles of Yacht design:</t>
  </si>
  <si>
    <t>Rationale: direct na de botsing staat de kiel stil. Omdat de maxfun de meeste massa in de loden bulb heeft zitten, mag dit.</t>
  </si>
  <si>
    <t>M</t>
  </si>
  <si>
    <t>LWL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</si>
</sst>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8" formatCode="##0.00E+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quotePrefix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1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0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168" fontId="0" fillId="0" borderId="4" xfId="0" applyNumberFormat="1" applyBorder="1"/>
    <xf numFmtId="168" fontId="0" fillId="0" borderId="0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526909</xdr:colOff>
      <xdr:row>17</xdr:row>
      <xdr:rowOff>180974</xdr:rowOff>
    </xdr:from>
    <xdr:to>
      <xdr:col>13</xdr:col>
      <xdr:colOff>561493</xdr:colOff>
      <xdr:row>32</xdr:row>
      <xdr:rowOff>18646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6609" y="3238499"/>
          <a:ext cx="3254034" cy="2723747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285751</xdr:colOff>
      <xdr:row>20</xdr:row>
      <xdr:rowOff>37993</xdr:rowOff>
    </xdr:from>
    <xdr:to>
      <xdr:col>16</xdr:col>
      <xdr:colOff>552451</xdr:colOff>
      <xdr:row>32</xdr:row>
      <xdr:rowOff>113973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1" y="3695593"/>
          <a:ext cx="1485900" cy="2361980"/>
        </a:xfrm>
        <a:prstGeom prst="rect">
          <a:avLst/>
        </a:prstGeom>
      </xdr:spPr>
    </xdr:pic>
    <xdr:clientData/>
  </xdr:twoCellAnchor>
  <xdr:twoCellAnchor editAs="oneCell">
    <xdr:from>
      <xdr:col>16</xdr:col>
      <xdr:colOff>561975</xdr:colOff>
      <xdr:row>13</xdr:row>
      <xdr:rowOff>182506</xdr:rowOff>
    </xdr:from>
    <xdr:to>
      <xdr:col>24</xdr:col>
      <xdr:colOff>313525</xdr:colOff>
      <xdr:row>26</xdr:row>
      <xdr:rowOff>27968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51F0D0-3871-45E4-B67D-13F085E2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3350" y="2687581"/>
          <a:ext cx="4628350" cy="351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B1" workbookViewId="0">
      <selection activeCell="B1" sqref="B1"/>
    </sheetView>
  </sheetViews>
  <sheetFormatPr defaultRowHeight="15" x14ac:dyDescent="0.25"/>
  <cols>
    <col min="1" max="1" width="3.140625" style="8" customWidth="1"/>
    <col min="2" max="2" width="29.85546875" customWidth="1"/>
    <col min="3" max="3" width="10.5703125" bestFit="1" customWidth="1"/>
    <col min="5" max="5" width="9.28515625" bestFit="1" customWidth="1"/>
    <col min="6" max="6" width="11.5703125" bestFit="1" customWidth="1"/>
    <col min="11" max="11" width="11.7109375" bestFit="1" customWidth="1"/>
  </cols>
  <sheetData>
    <row r="1" spans="2:13" s="8" customFormat="1" ht="15.75" thickBot="1" x14ac:dyDescent="0.3"/>
    <row r="2" spans="2:13" ht="15.75" thickBot="1" x14ac:dyDescent="0.3">
      <c r="B2" s="22" t="s">
        <v>46</v>
      </c>
      <c r="C2" s="23"/>
      <c r="D2" s="23"/>
      <c r="E2" s="23"/>
      <c r="F2" s="23"/>
      <c r="G2" s="23"/>
      <c r="H2" s="24"/>
      <c r="J2" s="22" t="s">
        <v>67</v>
      </c>
      <c r="K2" s="23"/>
      <c r="L2" s="23"/>
      <c r="M2" s="24"/>
    </row>
    <row r="3" spans="2:13" x14ac:dyDescent="0.25">
      <c r="B3" s="1" t="s">
        <v>0</v>
      </c>
      <c r="C3" s="30">
        <v>3500</v>
      </c>
      <c r="D3" s="2" t="s">
        <v>37</v>
      </c>
      <c r="E3" s="2"/>
      <c r="F3" s="2"/>
      <c r="G3" s="2"/>
      <c r="H3" s="3"/>
      <c r="J3" s="9" t="s">
        <v>66</v>
      </c>
      <c r="K3" s="10">
        <v>0.25</v>
      </c>
      <c r="L3" s="10" t="s">
        <v>52</v>
      </c>
      <c r="M3" s="11"/>
    </row>
    <row r="4" spans="2:13" x14ac:dyDescent="0.25">
      <c r="B4" s="1" t="s">
        <v>1</v>
      </c>
      <c r="C4" s="30">
        <v>1500</v>
      </c>
      <c r="D4" s="2" t="s">
        <v>37</v>
      </c>
      <c r="E4" s="2"/>
      <c r="F4" s="2"/>
      <c r="G4" s="2"/>
      <c r="H4" s="3"/>
      <c r="J4" s="9" t="s">
        <v>65</v>
      </c>
      <c r="K4" s="16">
        <f>-E10/K3</f>
        <v>-19.619037429027486</v>
      </c>
      <c r="L4" s="10" t="s">
        <v>53</v>
      </c>
      <c r="M4" s="11"/>
    </row>
    <row r="5" spans="2:13" x14ac:dyDescent="0.25">
      <c r="B5" s="1" t="s">
        <v>2</v>
      </c>
      <c r="C5" s="2">
        <v>220</v>
      </c>
      <c r="D5" s="2" t="s">
        <v>3</v>
      </c>
      <c r="E5" s="2">
        <f>+C5/100</f>
        <v>2.2000000000000002</v>
      </c>
      <c r="F5" s="2" t="s">
        <v>4</v>
      </c>
      <c r="G5" s="2"/>
      <c r="H5" s="3"/>
      <c r="J5" s="9" t="s">
        <v>12</v>
      </c>
      <c r="K5" s="18">
        <f>0.5*K4*K3^2+E10*K3</f>
        <v>0.61309491965710894</v>
      </c>
      <c r="L5" s="10" t="s">
        <v>4</v>
      </c>
      <c r="M5" s="11"/>
    </row>
    <row r="6" spans="2:13" x14ac:dyDescent="0.25">
      <c r="B6" s="1" t="s">
        <v>70</v>
      </c>
      <c r="C6" s="2">
        <v>10.7</v>
      </c>
      <c r="D6" s="2" t="s">
        <v>4</v>
      </c>
      <c r="E6" s="2"/>
      <c r="F6" s="2"/>
      <c r="G6" s="2"/>
      <c r="H6" s="3"/>
      <c r="J6" s="13" t="s">
        <v>69</v>
      </c>
      <c r="K6" s="10">
        <f>+C3</f>
        <v>3500</v>
      </c>
      <c r="L6" s="7" t="s">
        <v>37</v>
      </c>
      <c r="M6" s="11"/>
    </row>
    <row r="7" spans="2:13" x14ac:dyDescent="0.25">
      <c r="B7" s="1"/>
      <c r="C7" s="2"/>
      <c r="D7" s="2"/>
      <c r="E7" s="2"/>
      <c r="F7" s="2"/>
      <c r="G7" s="2"/>
      <c r="H7" s="3"/>
      <c r="J7" s="13" t="s">
        <v>33</v>
      </c>
      <c r="K7" s="16">
        <f>-K6*K4</f>
        <v>68666.631001596208</v>
      </c>
      <c r="L7" s="7" t="s">
        <v>14</v>
      </c>
      <c r="M7" s="11"/>
    </row>
    <row r="8" spans="2:13" ht="15.75" thickBot="1" x14ac:dyDescent="0.3">
      <c r="B8" s="1" t="s">
        <v>5</v>
      </c>
      <c r="C8" s="18">
        <f>E8*3600/1852</f>
        <v>7.9450745527919091</v>
      </c>
      <c r="D8" s="2" t="s">
        <v>36</v>
      </c>
      <c r="E8" s="18">
        <f>SQRT((C6*9.81)/(2*PI()))</f>
        <v>4.0872994643807266</v>
      </c>
      <c r="F8" s="2" t="s">
        <v>6</v>
      </c>
      <c r="G8" s="2"/>
      <c r="H8" s="3"/>
      <c r="J8" s="14" t="s">
        <v>15</v>
      </c>
      <c r="K8" s="19">
        <f>+K7*C5</f>
        <v>15106658.820351167</v>
      </c>
      <c r="L8" s="15" t="s">
        <v>16</v>
      </c>
      <c r="M8" s="6"/>
    </row>
    <row r="9" spans="2:13" x14ac:dyDescent="0.25">
      <c r="B9" s="1" t="s">
        <v>35</v>
      </c>
      <c r="C9" s="2">
        <v>1.2</v>
      </c>
      <c r="D9" s="2"/>
      <c r="E9" s="18"/>
      <c r="F9" s="2"/>
      <c r="G9" s="2" t="s">
        <v>47</v>
      </c>
      <c r="H9" s="3"/>
    </row>
    <row r="10" spans="2:13" s="8" customFormat="1" x14ac:dyDescent="0.25">
      <c r="B10" s="9"/>
      <c r="C10" s="18">
        <f>E10*3600/1852</f>
        <v>9.5340894633502895</v>
      </c>
      <c r="D10" s="7" t="s">
        <v>36</v>
      </c>
      <c r="E10" s="18">
        <f>E8*C9</f>
        <v>4.9047593572568715</v>
      </c>
      <c r="F10" s="10" t="s">
        <v>6</v>
      </c>
      <c r="G10" s="10"/>
      <c r="H10" s="11"/>
    </row>
    <row r="11" spans="2:13" x14ac:dyDescent="0.25">
      <c r="B11" s="1"/>
      <c r="C11" s="2"/>
      <c r="D11" s="2"/>
      <c r="E11" s="18"/>
      <c r="F11" s="2"/>
      <c r="G11" s="2"/>
      <c r="H11" s="3"/>
    </row>
    <row r="12" spans="2:13" ht="44.25" customHeight="1" x14ac:dyDescent="0.25">
      <c r="B12" s="1" t="s">
        <v>7</v>
      </c>
      <c r="C12" s="30">
        <f>+C3-C4</f>
        <v>2000</v>
      </c>
      <c r="D12" s="2" t="s">
        <v>37</v>
      </c>
      <c r="E12" s="25" t="s">
        <v>68</v>
      </c>
      <c r="F12" s="25"/>
      <c r="G12" s="25"/>
      <c r="H12" s="26"/>
    </row>
    <row r="13" spans="2:13" x14ac:dyDescent="0.25">
      <c r="B13" s="1" t="s">
        <v>8</v>
      </c>
      <c r="C13" s="30">
        <f>0.5*C12*E10^2</f>
        <v>24056.66435259884</v>
      </c>
      <c r="D13" s="2" t="s">
        <v>9</v>
      </c>
      <c r="E13" s="18"/>
      <c r="F13" s="2"/>
      <c r="G13" s="2"/>
      <c r="H13" s="3"/>
    </row>
    <row r="14" spans="2:13" x14ac:dyDescent="0.25">
      <c r="B14" s="1"/>
      <c r="C14" s="2"/>
      <c r="D14" s="2"/>
      <c r="E14" s="18"/>
      <c r="F14" s="2"/>
      <c r="G14" s="2"/>
      <c r="H14" s="3"/>
    </row>
    <row r="15" spans="2:13" x14ac:dyDescent="0.25">
      <c r="B15" s="1" t="s">
        <v>48</v>
      </c>
      <c r="C15" s="2">
        <v>16</v>
      </c>
      <c r="D15" s="2" t="s">
        <v>10</v>
      </c>
      <c r="E15" s="18">
        <f>+C15/360*2*PI()</f>
        <v>0.27925268031909273</v>
      </c>
      <c r="F15" s="2" t="s">
        <v>11</v>
      </c>
      <c r="G15" s="7" t="s">
        <v>47</v>
      </c>
      <c r="H15" s="3"/>
    </row>
    <row r="16" spans="2:13" x14ac:dyDescent="0.25">
      <c r="B16" s="1" t="s">
        <v>12</v>
      </c>
      <c r="C16" s="17">
        <f>+E15*E5</f>
        <v>0.61435589670200408</v>
      </c>
      <c r="D16" s="2" t="s">
        <v>4</v>
      </c>
      <c r="E16" s="18"/>
      <c r="F16" s="2"/>
      <c r="G16" s="2"/>
      <c r="H16" s="3"/>
    </row>
    <row r="17" spans="2:8" ht="106.5" customHeight="1" x14ac:dyDescent="0.25">
      <c r="B17" s="1" t="s">
        <v>13</v>
      </c>
      <c r="C17" s="30">
        <f>2*C13/C16</f>
        <v>78315.075941291492</v>
      </c>
      <c r="D17" s="2" t="s">
        <v>14</v>
      </c>
      <c r="E17" s="16">
        <f>+C17/C12</f>
        <v>39.157537970645748</v>
      </c>
      <c r="F17" s="2" t="s">
        <v>53</v>
      </c>
      <c r="G17" s="27" t="s">
        <v>49</v>
      </c>
      <c r="H17" s="28"/>
    </row>
    <row r="18" spans="2:8" ht="15.75" thickBot="1" x14ac:dyDescent="0.3">
      <c r="B18" s="4" t="s">
        <v>15</v>
      </c>
      <c r="C18" s="29">
        <f>+C17*C5</f>
        <v>17229316.707084127</v>
      </c>
      <c r="D18" s="5" t="s">
        <v>16</v>
      </c>
      <c r="E18" s="5"/>
      <c r="F18" s="5"/>
      <c r="G18" s="5"/>
      <c r="H18" s="6"/>
    </row>
    <row r="19" spans="2:8" ht="15.75" thickBot="1" x14ac:dyDescent="0.3"/>
    <row r="20" spans="2:8" ht="15.75" thickBot="1" x14ac:dyDescent="0.3">
      <c r="B20" s="22" t="s">
        <v>44</v>
      </c>
      <c r="C20" s="23"/>
      <c r="D20" s="23"/>
      <c r="E20" s="23"/>
      <c r="F20" s="23"/>
      <c r="G20" s="23"/>
      <c r="H20" s="24"/>
    </row>
    <row r="21" spans="2:8" x14ac:dyDescent="0.25">
      <c r="B21" s="9" t="s">
        <v>17</v>
      </c>
      <c r="C21" s="10">
        <v>20</v>
      </c>
      <c r="D21" s="10" t="s">
        <v>38</v>
      </c>
      <c r="E21" s="10"/>
      <c r="F21" s="10"/>
      <c r="G21" s="10"/>
      <c r="H21" s="11"/>
    </row>
    <row r="22" spans="2:8" x14ac:dyDescent="0.25">
      <c r="B22" s="9" t="s">
        <v>18</v>
      </c>
      <c r="C22" s="10">
        <v>18</v>
      </c>
      <c r="D22" s="10" t="s">
        <v>38</v>
      </c>
      <c r="E22" s="10"/>
      <c r="F22" s="10"/>
      <c r="G22" s="10"/>
      <c r="H22" s="11"/>
    </row>
    <row r="23" spans="2:8" x14ac:dyDescent="0.25">
      <c r="B23" s="9" t="s">
        <v>19</v>
      </c>
      <c r="C23" s="16">
        <f>0.25*PI()*C22^2</f>
        <v>254.46900494077323</v>
      </c>
      <c r="D23" s="10" t="s">
        <v>20</v>
      </c>
      <c r="E23" s="10"/>
      <c r="F23" s="10"/>
      <c r="G23" s="10"/>
      <c r="H23" s="11"/>
    </row>
    <row r="24" spans="2:8" x14ac:dyDescent="0.25">
      <c r="B24" s="9" t="s">
        <v>21</v>
      </c>
      <c r="C24" s="16">
        <f>+PI()/64*C22^4</f>
        <v>5152.9973500506585</v>
      </c>
      <c r="D24" s="10" t="s">
        <v>22</v>
      </c>
      <c r="E24" s="10"/>
      <c r="F24" s="10"/>
      <c r="G24" s="10"/>
      <c r="H24" s="11"/>
    </row>
    <row r="25" spans="2:8" x14ac:dyDescent="0.25">
      <c r="B25" s="9" t="s">
        <v>40</v>
      </c>
      <c r="C25" s="10">
        <v>511</v>
      </c>
      <c r="D25" s="10"/>
      <c r="E25" s="10"/>
      <c r="F25" s="10"/>
      <c r="G25" s="10"/>
      <c r="H25" s="11"/>
    </row>
    <row r="26" spans="2:8" x14ac:dyDescent="0.25">
      <c r="B26" s="9" t="s">
        <v>39</v>
      </c>
      <c r="C26" s="10">
        <v>25</v>
      </c>
      <c r="D26" s="12" t="s">
        <v>50</v>
      </c>
      <c r="E26" s="10"/>
      <c r="F26" s="10"/>
      <c r="G26" s="10"/>
      <c r="H26" s="11" t="s">
        <v>47</v>
      </c>
    </row>
    <row r="27" spans="2:8" x14ac:dyDescent="0.25">
      <c r="B27" s="9" t="s">
        <v>41</v>
      </c>
      <c r="C27" s="18">
        <f>+C25*(1-C26/100)</f>
        <v>383.25</v>
      </c>
      <c r="D27" s="10"/>
      <c r="E27" s="10"/>
      <c r="F27" s="10"/>
      <c r="G27" s="10"/>
      <c r="H27" s="11"/>
    </row>
    <row r="28" spans="2:8" x14ac:dyDescent="0.25">
      <c r="B28" s="9"/>
      <c r="C28" s="10"/>
      <c r="D28" s="10"/>
      <c r="E28" s="10"/>
      <c r="F28" s="10"/>
      <c r="G28" s="10"/>
      <c r="H28" s="11"/>
    </row>
    <row r="29" spans="2:8" x14ac:dyDescent="0.25">
      <c r="B29" s="9"/>
      <c r="C29" s="10"/>
      <c r="D29" s="10"/>
      <c r="E29" s="10" t="s">
        <v>26</v>
      </c>
      <c r="F29" s="10" t="s">
        <v>27</v>
      </c>
      <c r="G29" s="10"/>
      <c r="H29" s="11"/>
    </row>
    <row r="30" spans="2:8" x14ac:dyDescent="0.25">
      <c r="B30" s="9" t="s">
        <v>23</v>
      </c>
      <c r="C30" s="10">
        <v>128</v>
      </c>
      <c r="D30" s="18">
        <f>+C$27-C30</f>
        <v>255.25</v>
      </c>
      <c r="E30" s="16">
        <f>+C$24</f>
        <v>5152.9973500506585</v>
      </c>
      <c r="F30" s="21">
        <f>+D30^2*C$23</f>
        <v>16579307.748716537</v>
      </c>
      <c r="G30" s="10"/>
      <c r="H30" s="11"/>
    </row>
    <row r="31" spans="2:8" x14ac:dyDescent="0.25">
      <c r="B31" s="9" t="s">
        <v>24</v>
      </c>
      <c r="C31" s="10">
        <v>255</v>
      </c>
      <c r="D31" s="18">
        <f t="shared" ref="D31:D32" si="0">+C$27-C31</f>
        <v>128.25</v>
      </c>
      <c r="E31" s="16">
        <f t="shared" ref="E31:E32" si="1">+C$24</f>
        <v>5152.9973500506585</v>
      </c>
      <c r="F31" s="21">
        <f t="shared" ref="F31:F32" si="2">+D31^2*C$23</f>
        <v>4185522.0975786471</v>
      </c>
      <c r="G31" s="10"/>
      <c r="H31" s="11"/>
    </row>
    <row r="32" spans="2:8" x14ac:dyDescent="0.25">
      <c r="B32" s="9" t="s">
        <v>25</v>
      </c>
      <c r="C32" s="10">
        <v>383</v>
      </c>
      <c r="D32" s="18">
        <f t="shared" si="0"/>
        <v>0.25</v>
      </c>
      <c r="E32" s="16">
        <f t="shared" si="1"/>
        <v>5152.9973500506585</v>
      </c>
      <c r="F32" s="21">
        <f t="shared" si="2"/>
        <v>15.904312808798327</v>
      </c>
      <c r="G32" s="10"/>
      <c r="H32" s="11"/>
    </row>
    <row r="33" spans="2:8" x14ac:dyDescent="0.25">
      <c r="B33" s="9"/>
      <c r="C33" s="10"/>
      <c r="D33" s="10"/>
      <c r="E33" s="10"/>
      <c r="F33" s="10"/>
      <c r="G33" s="10"/>
      <c r="H33" s="11"/>
    </row>
    <row r="34" spans="2:8" x14ac:dyDescent="0.25">
      <c r="B34" s="9"/>
      <c r="C34" s="10"/>
      <c r="D34" s="10"/>
      <c r="E34" s="10" t="s">
        <v>28</v>
      </c>
      <c r="F34" s="16">
        <f>SUM(E30:F32)</f>
        <v>20780304.742658146</v>
      </c>
      <c r="G34" s="10" t="s">
        <v>22</v>
      </c>
      <c r="H34" s="11"/>
    </row>
    <row r="35" spans="2:8" x14ac:dyDescent="0.25">
      <c r="B35" s="9" t="s">
        <v>51</v>
      </c>
      <c r="C35" s="18">
        <f>+D30+0.5*C21</f>
        <v>265.25</v>
      </c>
      <c r="D35" s="10"/>
      <c r="E35" s="10" t="s">
        <v>29</v>
      </c>
      <c r="F35" s="16">
        <f>+F34/C35</f>
        <v>78342.336447344569</v>
      </c>
      <c r="G35" s="10" t="s">
        <v>30</v>
      </c>
      <c r="H35" s="11"/>
    </row>
    <row r="36" spans="2:8" x14ac:dyDescent="0.25">
      <c r="B36" s="9"/>
      <c r="C36" s="10"/>
      <c r="D36" s="10"/>
      <c r="E36" s="10"/>
      <c r="F36" s="16"/>
      <c r="G36" s="10"/>
      <c r="H36" s="11"/>
    </row>
    <row r="37" spans="2:8" x14ac:dyDescent="0.25">
      <c r="B37" s="9" t="s">
        <v>43</v>
      </c>
      <c r="C37" s="10"/>
      <c r="D37" s="10"/>
      <c r="E37" s="10"/>
      <c r="F37" s="16">
        <f>+C18/F35</f>
        <v>219.92344737719549</v>
      </c>
      <c r="G37" s="10" t="s">
        <v>31</v>
      </c>
      <c r="H37" s="11"/>
    </row>
    <row r="38" spans="2:8" s="8" customFormat="1" x14ac:dyDescent="0.25">
      <c r="B38" s="9" t="s">
        <v>63</v>
      </c>
      <c r="C38" s="10"/>
      <c r="D38" s="10"/>
      <c r="E38" s="10"/>
      <c r="F38" s="16"/>
      <c r="G38" s="10"/>
      <c r="H38" s="11" t="s">
        <v>64</v>
      </c>
    </row>
    <row r="39" spans="2:8" s="8" customFormat="1" x14ac:dyDescent="0.25">
      <c r="B39" s="13" t="s">
        <v>54</v>
      </c>
      <c r="C39" s="10">
        <v>600</v>
      </c>
      <c r="D39" s="10" t="s">
        <v>31</v>
      </c>
      <c r="E39" s="10"/>
      <c r="F39" s="16"/>
      <c r="G39" s="10"/>
      <c r="H39" s="11"/>
    </row>
    <row r="40" spans="2:8" s="8" customFormat="1" x14ac:dyDescent="0.25">
      <c r="B40" s="13" t="s">
        <v>62</v>
      </c>
      <c r="C40" s="10">
        <v>450</v>
      </c>
      <c r="D40" s="10" t="s">
        <v>31</v>
      </c>
      <c r="E40" s="10"/>
      <c r="F40" s="16"/>
      <c r="G40" s="10"/>
      <c r="H40" s="11"/>
    </row>
    <row r="41" spans="2:8" s="8" customFormat="1" ht="15.75" thickBot="1" x14ac:dyDescent="0.3">
      <c r="B41" s="14"/>
      <c r="C41" s="5"/>
      <c r="D41" s="5"/>
      <c r="E41" s="5" t="s">
        <v>58</v>
      </c>
      <c r="F41" s="20">
        <f>+C40/F37</f>
        <v>2.0461665427979363</v>
      </c>
      <c r="G41" s="5"/>
      <c r="H41" s="6" t="s">
        <v>42</v>
      </c>
    </row>
    <row r="42" spans="2:8" ht="15.75" thickBot="1" x14ac:dyDescent="0.3"/>
    <row r="43" spans="2:8" ht="15.75" thickBot="1" x14ac:dyDescent="0.3">
      <c r="B43" s="22" t="s">
        <v>45</v>
      </c>
      <c r="C43" s="23"/>
      <c r="D43" s="23"/>
      <c r="E43" s="23"/>
      <c r="F43" s="23"/>
      <c r="G43" s="23"/>
      <c r="H43" s="24"/>
    </row>
    <row r="44" spans="2:8" x14ac:dyDescent="0.25">
      <c r="B44" s="9" t="s">
        <v>33</v>
      </c>
      <c r="C44" s="10"/>
      <c r="D44" s="10"/>
      <c r="E44" s="10"/>
      <c r="F44" s="16">
        <f>+F37*C23</f>
        <v>55963.70081721944</v>
      </c>
      <c r="G44" s="10"/>
      <c r="H44" s="11"/>
    </row>
    <row r="45" spans="2:8" x14ac:dyDescent="0.25">
      <c r="B45" s="9" t="s">
        <v>32</v>
      </c>
      <c r="C45" s="10" t="s">
        <v>34</v>
      </c>
      <c r="D45" s="10">
        <v>12</v>
      </c>
      <c r="E45" s="10"/>
      <c r="F45" s="16">
        <f>+D45*PI()*C21</f>
        <v>753.98223686155029</v>
      </c>
      <c r="G45" s="10" t="s">
        <v>20</v>
      </c>
      <c r="H45" s="11"/>
    </row>
    <row r="46" spans="2:8" x14ac:dyDescent="0.25">
      <c r="B46" s="9"/>
      <c r="C46" s="10"/>
      <c r="D46" s="10"/>
      <c r="E46" s="10"/>
      <c r="F46" s="16">
        <f>+F44/F45</f>
        <v>74.224163489803473</v>
      </c>
      <c r="G46" s="10" t="s">
        <v>31</v>
      </c>
      <c r="H46" s="11"/>
    </row>
    <row r="47" spans="2:8" x14ac:dyDescent="0.25">
      <c r="B47" s="9"/>
      <c r="C47" s="10"/>
      <c r="D47" s="10"/>
      <c r="E47" s="10"/>
      <c r="F47" s="16"/>
      <c r="G47" s="10"/>
      <c r="H47" s="11"/>
    </row>
    <row r="48" spans="2:8" x14ac:dyDescent="0.25">
      <c r="B48" s="9" t="s">
        <v>57</v>
      </c>
      <c r="C48" s="10"/>
      <c r="D48" s="10"/>
      <c r="E48" s="10"/>
      <c r="F48" s="16"/>
      <c r="G48" s="10"/>
      <c r="H48" s="11" t="s">
        <v>60</v>
      </c>
    </row>
    <row r="49" spans="2:8" x14ac:dyDescent="0.25">
      <c r="B49" s="9" t="s">
        <v>54</v>
      </c>
      <c r="C49" s="10"/>
      <c r="D49" s="10">
        <v>530</v>
      </c>
      <c r="E49" s="10" t="s">
        <v>31</v>
      </c>
      <c r="F49" s="16"/>
      <c r="G49" s="10"/>
      <c r="H49" s="11"/>
    </row>
    <row r="50" spans="2:8" x14ac:dyDescent="0.25">
      <c r="B50" s="9" t="s">
        <v>55</v>
      </c>
      <c r="C50" s="10"/>
      <c r="D50" s="10">
        <v>240</v>
      </c>
      <c r="E50" s="10" t="s">
        <v>31</v>
      </c>
      <c r="F50" s="16"/>
      <c r="G50" s="10"/>
      <c r="H50" s="11"/>
    </row>
    <row r="51" spans="2:8" x14ac:dyDescent="0.25">
      <c r="B51" s="9" t="s">
        <v>56</v>
      </c>
      <c r="C51" s="10">
        <v>0.6</v>
      </c>
      <c r="D51" s="10">
        <f>+C51*D49</f>
        <v>318</v>
      </c>
      <c r="E51" s="10" t="s">
        <v>31</v>
      </c>
      <c r="F51" s="16"/>
      <c r="G51" s="10"/>
      <c r="H51" s="11" t="s">
        <v>59</v>
      </c>
    </row>
    <row r="52" spans="2:8" x14ac:dyDescent="0.25">
      <c r="B52" s="9"/>
      <c r="C52" s="10"/>
      <c r="D52" s="10"/>
      <c r="E52" s="10"/>
      <c r="F52" s="16"/>
      <c r="G52" s="10"/>
      <c r="H52" s="11"/>
    </row>
    <row r="53" spans="2:8" ht="15.75" thickBot="1" x14ac:dyDescent="0.3">
      <c r="B53" s="4"/>
      <c r="C53" s="5"/>
      <c r="D53" s="5"/>
      <c r="E53" s="5" t="s">
        <v>58</v>
      </c>
      <c r="F53" s="20">
        <f>+D51/F46</f>
        <v>4.2843190822040746</v>
      </c>
      <c r="G53" s="5"/>
      <c r="H53" s="6" t="s">
        <v>61</v>
      </c>
    </row>
  </sheetData>
  <mergeCells count="6">
    <mergeCell ref="B20:H20"/>
    <mergeCell ref="B43:H43"/>
    <mergeCell ref="B2:H2"/>
    <mergeCell ref="J2:M2"/>
    <mergeCell ref="E12:H12"/>
    <mergeCell ref="G17:H17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</dc:creator>
  <cp:lastModifiedBy>Jaap</cp:lastModifiedBy>
  <dcterms:created xsi:type="dcterms:W3CDTF">2019-02-16T21:21:00Z</dcterms:created>
  <dcterms:modified xsi:type="dcterms:W3CDTF">2021-02-18T12:00:56Z</dcterms:modified>
</cp:coreProperties>
</file>