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https://d.docs.live.net/d379a74a50add135/Zeilersforum/"/>
    </mc:Choice>
  </mc:AlternateContent>
  <xr:revisionPtr revIDLastSave="5" documentId="13_ncr:1000001_{A19559A6-3A18-404E-AD1A-A307E7BA806E}" xr6:coauthVersionLast="46" xr6:coauthVersionMax="46" xr10:uidLastSave="{D2CBD6DD-19A6-442B-8F67-0DC0B494B155}"/>
  <bookViews>
    <workbookView xWindow="28680" yWindow="-120" windowWidth="38640" windowHeight="24240" xr2:uid="{00000000-000D-0000-FFFF-FFFF00000000}"/>
  </bookViews>
  <sheets>
    <sheet name="Blad1" sheetId="1" r:id="rId1"/>
    <sheet name="Blad2" sheetId="2" r:id="rId2"/>
    <sheet name="Blad3" sheetId="3" r:id="rId3"/>
  </sheets>
  <calcPr calcId="181029"/>
  <extLst>
    <ext uri="GoogleSheetsCustomDataVersion1">
      <go:sheetsCustomData xmlns:go="http://customooxmlschemas.google.com/" r:id="rId7" roundtripDataSignature="AMtx7mjQaJ3H9psy0PQqM+IMXm3b2us9VQ=="/>
    </ext>
  </extLst>
</workbook>
</file>

<file path=xl/calcChain.xml><?xml version="1.0" encoding="utf-8"?>
<calcChain xmlns="http://schemas.openxmlformats.org/spreadsheetml/2006/main">
  <c r="B21" i="1" l="1"/>
  <c r="B22" i="1" s="1"/>
  <c r="B23" i="1"/>
  <c r="B25" i="1"/>
  <c r="A26" i="1"/>
  <c r="B24" i="1"/>
  <c r="B16" i="1"/>
  <c r="B15" i="1"/>
  <c r="B12" i="1"/>
  <c r="B13" i="1"/>
  <c r="B20" i="1"/>
  <c r="B14" i="1"/>
  <c r="D47" i="1"/>
  <c r="E47" i="1"/>
  <c r="G47" i="1"/>
  <c r="F47" i="1"/>
  <c r="H47" i="1"/>
  <c r="I47" i="1"/>
  <c r="J47" i="1"/>
  <c r="K47" i="1"/>
  <c r="B11" i="1"/>
  <c r="M47" i="1"/>
  <c r="Q47" i="1"/>
  <c r="N47" i="1"/>
  <c r="O47" i="1"/>
  <c r="L47" i="1"/>
  <c r="C47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D46" i="1"/>
  <c r="E46" i="1"/>
  <c r="G46" i="1"/>
  <c r="F46" i="1"/>
  <c r="H46" i="1"/>
  <c r="I46" i="1"/>
  <c r="J46" i="1"/>
  <c r="K46" i="1"/>
  <c r="M46" i="1"/>
  <c r="Q46" i="1"/>
  <c r="N46" i="1"/>
  <c r="O46" i="1"/>
  <c r="L46" i="1"/>
  <c r="C46" i="1"/>
  <c r="D45" i="1"/>
  <c r="E45" i="1"/>
  <c r="G45" i="1"/>
  <c r="F45" i="1"/>
  <c r="H45" i="1"/>
  <c r="I45" i="1"/>
  <c r="J45" i="1"/>
  <c r="K45" i="1"/>
  <c r="M45" i="1"/>
  <c r="Q45" i="1"/>
  <c r="N45" i="1"/>
  <c r="O45" i="1"/>
  <c r="L45" i="1"/>
  <c r="C45" i="1"/>
  <c r="D44" i="1"/>
  <c r="E44" i="1"/>
  <c r="G44" i="1"/>
  <c r="F44" i="1"/>
  <c r="H44" i="1"/>
  <c r="I44" i="1"/>
  <c r="J44" i="1"/>
  <c r="K44" i="1"/>
  <c r="M44" i="1"/>
  <c r="Q44" i="1"/>
  <c r="N44" i="1"/>
  <c r="O44" i="1"/>
  <c r="L44" i="1"/>
  <c r="C44" i="1"/>
  <c r="D43" i="1"/>
  <c r="E43" i="1"/>
  <c r="G43" i="1"/>
  <c r="F43" i="1"/>
  <c r="H43" i="1"/>
  <c r="I43" i="1"/>
  <c r="J43" i="1"/>
  <c r="K43" i="1"/>
  <c r="M43" i="1"/>
  <c r="Q43" i="1"/>
  <c r="N43" i="1"/>
  <c r="O43" i="1"/>
  <c r="L43" i="1"/>
  <c r="C43" i="1"/>
  <c r="D42" i="1"/>
  <c r="E42" i="1"/>
  <c r="G42" i="1"/>
  <c r="F42" i="1"/>
  <c r="H42" i="1"/>
  <c r="I42" i="1"/>
  <c r="J42" i="1"/>
  <c r="K42" i="1"/>
  <c r="M42" i="1"/>
  <c r="Q42" i="1"/>
  <c r="N42" i="1"/>
  <c r="O42" i="1"/>
  <c r="L42" i="1"/>
  <c r="C42" i="1"/>
  <c r="D41" i="1"/>
  <c r="E41" i="1"/>
  <c r="G41" i="1"/>
  <c r="F41" i="1"/>
  <c r="H41" i="1"/>
  <c r="I41" i="1"/>
  <c r="J41" i="1"/>
  <c r="K41" i="1"/>
  <c r="M41" i="1"/>
  <c r="Q41" i="1"/>
  <c r="N41" i="1"/>
  <c r="O41" i="1"/>
  <c r="L41" i="1"/>
  <c r="C41" i="1"/>
  <c r="D40" i="1"/>
  <c r="E40" i="1"/>
  <c r="G40" i="1"/>
  <c r="F40" i="1"/>
  <c r="H40" i="1"/>
  <c r="I40" i="1"/>
  <c r="J40" i="1"/>
  <c r="K40" i="1"/>
  <c r="M40" i="1"/>
  <c r="Q40" i="1"/>
  <c r="N40" i="1"/>
  <c r="O40" i="1"/>
  <c r="L40" i="1"/>
  <c r="C40" i="1"/>
  <c r="D39" i="1"/>
  <c r="E39" i="1"/>
  <c r="G39" i="1"/>
  <c r="F39" i="1"/>
  <c r="H39" i="1"/>
  <c r="I39" i="1"/>
  <c r="J39" i="1"/>
  <c r="K39" i="1"/>
  <c r="M39" i="1"/>
  <c r="Q39" i="1"/>
  <c r="N39" i="1"/>
  <c r="O39" i="1"/>
  <c r="L39" i="1"/>
  <c r="C39" i="1"/>
  <c r="D38" i="1"/>
  <c r="E38" i="1"/>
  <c r="G38" i="1"/>
  <c r="F38" i="1"/>
  <c r="H38" i="1"/>
  <c r="I38" i="1"/>
  <c r="J38" i="1"/>
  <c r="K38" i="1"/>
  <c r="M38" i="1"/>
  <c r="Q38" i="1"/>
  <c r="N38" i="1"/>
  <c r="O38" i="1"/>
  <c r="L38" i="1"/>
  <c r="C38" i="1"/>
  <c r="D37" i="1"/>
  <c r="E37" i="1"/>
  <c r="G37" i="1"/>
  <c r="F37" i="1"/>
  <c r="H37" i="1"/>
  <c r="I37" i="1"/>
  <c r="J37" i="1"/>
  <c r="K37" i="1"/>
  <c r="M37" i="1"/>
  <c r="Q37" i="1"/>
  <c r="N37" i="1"/>
  <c r="O37" i="1"/>
  <c r="L37" i="1"/>
  <c r="C37" i="1"/>
  <c r="D36" i="1"/>
  <c r="E36" i="1"/>
  <c r="G36" i="1"/>
  <c r="F36" i="1"/>
  <c r="H36" i="1"/>
  <c r="I36" i="1"/>
  <c r="J36" i="1"/>
  <c r="K36" i="1"/>
  <c r="M36" i="1"/>
  <c r="Q36" i="1"/>
  <c r="N36" i="1"/>
  <c r="O36" i="1"/>
  <c r="L36" i="1"/>
  <c r="C36" i="1"/>
  <c r="D35" i="1"/>
  <c r="E35" i="1"/>
  <c r="G35" i="1"/>
  <c r="F35" i="1"/>
  <c r="H35" i="1"/>
  <c r="I35" i="1"/>
  <c r="J35" i="1"/>
  <c r="K35" i="1"/>
  <c r="M35" i="1"/>
  <c r="Q35" i="1"/>
  <c r="N35" i="1"/>
  <c r="O35" i="1"/>
  <c r="L35" i="1"/>
  <c r="C35" i="1"/>
  <c r="D34" i="1"/>
  <c r="E34" i="1"/>
  <c r="G34" i="1"/>
  <c r="F34" i="1"/>
  <c r="H34" i="1"/>
  <c r="I34" i="1"/>
  <c r="J34" i="1"/>
  <c r="K34" i="1"/>
  <c r="M34" i="1"/>
  <c r="Q34" i="1"/>
  <c r="N34" i="1"/>
  <c r="O34" i="1"/>
  <c r="L34" i="1"/>
  <c r="C34" i="1"/>
  <c r="A34" i="1"/>
  <c r="D33" i="1"/>
  <c r="E33" i="1"/>
  <c r="G33" i="1"/>
  <c r="F33" i="1"/>
  <c r="H33" i="1"/>
  <c r="I33" i="1"/>
  <c r="J33" i="1"/>
  <c r="K33" i="1"/>
  <c r="M33" i="1"/>
  <c r="Q33" i="1"/>
  <c r="N33" i="1"/>
  <c r="O33" i="1"/>
  <c r="L33" i="1"/>
  <c r="C33" i="1"/>
  <c r="D32" i="1"/>
  <c r="E32" i="1"/>
  <c r="G32" i="1"/>
  <c r="F32" i="1"/>
  <c r="H32" i="1"/>
  <c r="I32" i="1"/>
  <c r="J32" i="1"/>
  <c r="K32" i="1"/>
  <c r="M32" i="1"/>
  <c r="Q32" i="1"/>
  <c r="N32" i="1"/>
  <c r="O32" i="1"/>
  <c r="L32" i="1"/>
  <c r="C32" i="1"/>
  <c r="D31" i="1"/>
  <c r="E31" i="1"/>
  <c r="G31" i="1"/>
  <c r="F31" i="1"/>
  <c r="H31" i="1"/>
  <c r="I31" i="1"/>
  <c r="J31" i="1"/>
  <c r="K31" i="1"/>
  <c r="M31" i="1"/>
  <c r="Q31" i="1"/>
  <c r="N31" i="1"/>
  <c r="O31" i="1"/>
  <c r="L31" i="1"/>
  <c r="C31" i="1"/>
  <c r="D30" i="1"/>
  <c r="E30" i="1"/>
  <c r="G30" i="1"/>
  <c r="F30" i="1"/>
  <c r="H30" i="1"/>
  <c r="I30" i="1"/>
  <c r="J30" i="1"/>
  <c r="K30" i="1"/>
  <c r="M30" i="1"/>
  <c r="Q30" i="1"/>
  <c r="N30" i="1"/>
  <c r="O30" i="1"/>
  <c r="L30" i="1"/>
  <c r="C30" i="1"/>
  <c r="D29" i="1"/>
  <c r="E29" i="1"/>
  <c r="G29" i="1"/>
  <c r="F29" i="1"/>
  <c r="H29" i="1"/>
  <c r="I29" i="1"/>
  <c r="J29" i="1"/>
  <c r="K29" i="1"/>
  <c r="M29" i="1"/>
  <c r="Q29" i="1"/>
  <c r="N29" i="1"/>
  <c r="O29" i="1"/>
  <c r="L29" i="1"/>
  <c r="C29" i="1"/>
  <c r="A27" i="1"/>
  <c r="B19" i="1"/>
  <c r="B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Jaap</author>
  </authors>
  <commentList>
    <comment ref="B18" authorId="0" shapeId="0" xr:uid="{882B5240-10BD-46D7-83D6-2C1A60BCA129}">
      <text>
        <r>
          <rPr>
            <b/>
            <sz val="9"/>
            <color indexed="81"/>
            <rFont val="Tahoma"/>
            <family val="2"/>
          </rPr>
          <t>JotM:</t>
        </r>
        <r>
          <rPr>
            <sz val="9"/>
            <color indexed="81"/>
            <rFont val="Tahoma"/>
            <family val="2"/>
          </rPr>
          <t xml:space="preserve">
Komt in de buurt, maar is onjuist</t>
        </r>
      </text>
    </comment>
    <comment ref="B21" authorId="0" shapeId="0" xr:uid="{5CF4F3EC-3887-4580-910C-DA01A242ACED}">
      <text>
        <r>
          <rPr>
            <b/>
            <sz val="9"/>
            <color indexed="81"/>
            <rFont val="Tahoma"/>
            <family val="2"/>
          </rPr>
          <t>JotM:</t>
        </r>
        <r>
          <rPr>
            <sz val="9"/>
            <color indexed="81"/>
            <rFont val="Tahoma"/>
            <family val="2"/>
          </rPr>
          <t xml:space="preserve">
Zit zo'n 30% naast de waarheid</t>
        </r>
      </text>
    </comment>
    <comment ref="B22" authorId="0" shapeId="0" xr:uid="{1F112FEB-C5F8-4C70-9232-310CF996AD45}">
      <text>
        <r>
          <rPr>
            <b/>
            <sz val="9"/>
            <color indexed="81"/>
            <rFont val="Tahoma"/>
            <family val="2"/>
          </rPr>
          <t>JotM:</t>
        </r>
        <r>
          <rPr>
            <sz val="9"/>
            <color indexed="81"/>
            <rFont val="Tahoma"/>
            <family val="2"/>
          </rPr>
          <t xml:space="preserve">
Ervan uitgaande dat het eind aan de zijde van het dek belegd is, zijn er 6 parten waar de kracht over verdeeld wordt, niet 5</t>
        </r>
      </text>
    </comment>
    <comment ref="D29" authorId="0" shapeId="0" xr:uid="{8EEBB991-5CAE-48A9-A265-8E9B4137A22A}">
      <text>
        <r>
          <rPr>
            <b/>
            <sz val="9"/>
            <color indexed="81"/>
            <rFont val="Tahoma"/>
            <family val="2"/>
          </rPr>
          <t>JotM:</t>
        </r>
        <r>
          <rPr>
            <sz val="9"/>
            <color indexed="81"/>
            <rFont val="Tahoma"/>
            <family val="2"/>
          </rPr>
          <t xml:space="preserve">
Als sprenkel/bokkepoot niet op c.q. in lijn met de mastbout zijn afgesteund is dit niet juist</t>
        </r>
      </text>
    </comment>
    <comment ref="N29" authorId="0" shapeId="0" xr:uid="{04ECC11E-8ACF-4546-881E-92A9F892F051}">
      <text>
        <r>
          <rPr>
            <b/>
            <sz val="9"/>
            <color indexed="81"/>
            <rFont val="Tahoma"/>
            <family val="2"/>
          </rPr>
          <t>JotM:</t>
        </r>
        <r>
          <rPr>
            <sz val="9"/>
            <color indexed="81"/>
            <rFont val="Tahoma"/>
            <family val="2"/>
          </rPr>
          <t xml:space="preserve">
Onjuist. Om te beginnen is alpha niet constant. Daarnaast gaat het om moment-evenwicht, dus is ook de eerste rij al onjuist.</t>
        </r>
      </text>
    </comment>
    <comment ref="O29" authorId="0" shapeId="0" xr:uid="{F08604F1-0F9A-4968-83A2-9DB9EB618008}">
      <text>
        <r>
          <rPr>
            <b/>
            <sz val="9"/>
            <color indexed="81"/>
            <rFont val="Tahoma"/>
            <family val="2"/>
          </rPr>
          <t>JotM:</t>
        </r>
        <r>
          <rPr>
            <sz val="9"/>
            <color indexed="81"/>
            <rFont val="Tahoma"/>
            <family val="2"/>
          </rPr>
          <t xml:space="preserve">
Zie opmerking bij cel B22</t>
        </r>
      </text>
    </comment>
  </commentList>
</comments>
</file>

<file path=xl/sharedStrings.xml><?xml version="1.0" encoding="utf-8"?>
<sst xmlns="http://schemas.openxmlformats.org/spreadsheetml/2006/main" count="66" uniqueCount="55">
  <si>
    <t xml:space="preserve">                Designdata input</t>
  </si>
  <si>
    <t>mastweight                                                        M</t>
  </si>
  <si>
    <t>KG</t>
  </si>
  <si>
    <t>mastlength                                                         A</t>
  </si>
  <si>
    <t>M</t>
  </si>
  <si>
    <t>A-framelength                                                   C</t>
  </si>
  <si>
    <t>vertical distance swivel fram/mastfoot        F</t>
  </si>
  <si>
    <t>horizontal distance swivel fram/mastfoot   E</t>
  </si>
  <si>
    <t>number of sheaves in block and tackle</t>
  </si>
  <si>
    <t xml:space="preserve">        Calculation of inputs</t>
  </si>
  <si>
    <t>tan α (a+e)/(c+f)</t>
  </si>
  <si>
    <t>α</t>
  </si>
  <si>
    <t>β</t>
  </si>
  <si>
    <t>γ</t>
  </si>
  <si>
    <t>B</t>
  </si>
  <si>
    <t>D</t>
  </si>
  <si>
    <t xml:space="preserve">        Calculation of power</t>
  </si>
  <si>
    <t xml:space="preserve">  FM</t>
  </si>
  <si>
    <t>max compression on A frame</t>
  </si>
  <si>
    <t>kg</t>
  </si>
  <si>
    <t>FM(weightforce mast)</t>
  </si>
  <si>
    <t xml:space="preserve">     H</t>
  </si>
  <si>
    <t>pulling force forestay</t>
  </si>
  <si>
    <t xml:space="preserve">         ζ</t>
  </si>
  <si>
    <t xml:space="preserve">  ε</t>
  </si>
  <si>
    <t xml:space="preserve"> δ</t>
  </si>
  <si>
    <t>Pulling power hoist (D) on bow</t>
  </si>
  <si>
    <t xml:space="preserve">         G</t>
  </si>
  <si>
    <t xml:space="preserve">         F</t>
  </si>
  <si>
    <t>E</t>
  </si>
  <si>
    <t>Maximum required manpower</t>
  </si>
  <si>
    <t xml:space="preserve">Pulling  </t>
  </si>
  <si>
    <t>pulling</t>
  </si>
  <si>
    <t xml:space="preserve"> power</t>
  </si>
  <si>
    <t>percentage</t>
  </si>
  <si>
    <t>force</t>
  </si>
  <si>
    <t>lifting (D)</t>
  </si>
  <si>
    <t>Required</t>
  </si>
  <si>
    <t>compression</t>
  </si>
  <si>
    <t xml:space="preserve">       δ</t>
  </si>
  <si>
    <t>lifted</t>
  </si>
  <si>
    <t>ε</t>
  </si>
  <si>
    <t>F</t>
  </si>
  <si>
    <t>G</t>
  </si>
  <si>
    <t>H</t>
  </si>
  <si>
    <t>TAN ζ</t>
  </si>
  <si>
    <t>ζ</t>
  </si>
  <si>
    <t>FM</t>
  </si>
  <si>
    <t>forestay</t>
  </si>
  <si>
    <t>on bow</t>
  </si>
  <si>
    <t xml:space="preserve"> manpower</t>
  </si>
  <si>
    <t>on A-frame</t>
  </si>
  <si>
    <t>trekkracht talie (D)</t>
  </si>
  <si>
    <t>compressie sprenkel cq bokkepoot</t>
  </si>
  <si>
    <t>trekkracht halende eind talie (zonder wrijving)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</si>
</sst>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rgb="FF000000"/>
      <name val="Arial"/>
    </font>
    <font>
      <b/>
      <sz val="18"/>
      <color rgb="FF008000"/>
      <name val="Arial"/>
      <family val="2"/>
    </font>
    <font>
      <sz val="1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b/>
      <sz val="10"/>
      <color rgb="FF008000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4"/>
      <color rgb="FF545454"/>
      <name val="Arial"/>
      <family val="2"/>
    </font>
    <font>
      <sz val="10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3" fillId="0" borderId="4" xfId="0" applyFont="1" applyBorder="1"/>
    <xf numFmtId="0" fontId="4" fillId="0" borderId="0" xfId="0" applyFont="1" applyAlignment="1"/>
    <xf numFmtId="0" fontId="5" fillId="0" borderId="5" xfId="0" applyFont="1" applyBorder="1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/>
    <xf numFmtId="0" fontId="9" fillId="0" borderId="0" xfId="0" applyFont="1"/>
    <xf numFmtId="0" fontId="8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0" xfId="0" applyFont="1"/>
    <xf numFmtId="0" fontId="10" fillId="0" borderId="0" xfId="0" applyFont="1"/>
    <xf numFmtId="0" fontId="8" fillId="0" borderId="9" xfId="0" applyFont="1" applyBorder="1"/>
    <xf numFmtId="0" fontId="8" fillId="0" borderId="11" xfId="0" applyFont="1" applyBorder="1"/>
    <xf numFmtId="0" fontId="8" fillId="0" borderId="5" xfId="0" applyFont="1" applyBorder="1"/>
    <xf numFmtId="0" fontId="11" fillId="0" borderId="0" xfId="0" applyFont="1"/>
    <xf numFmtId="0" fontId="12" fillId="0" borderId="0" xfId="0" applyFont="1"/>
    <xf numFmtId="0" fontId="7" fillId="0" borderId="10" xfId="0" applyFont="1" applyBorder="1"/>
    <xf numFmtId="2" fontId="7" fillId="0" borderId="0" xfId="0" applyNumberFormat="1" applyFont="1"/>
    <xf numFmtId="0" fontId="13" fillId="0" borderId="0" xfId="0" applyFont="1"/>
    <xf numFmtId="2" fontId="13" fillId="0" borderId="10" xfId="0" applyNumberFormat="1" applyFont="1" applyBorder="1"/>
    <xf numFmtId="0" fontId="13" fillId="0" borderId="7" xfId="0" applyFont="1" applyBorder="1"/>
    <xf numFmtId="164" fontId="0" fillId="0" borderId="0" xfId="0" applyNumberFormat="1" applyFont="1" applyAlignment="1"/>
    <xf numFmtId="1" fontId="7" fillId="0" borderId="10" xfId="0" applyNumberFormat="1" applyFont="1" applyBorder="1"/>
    <xf numFmtId="2" fontId="13" fillId="0" borderId="0" xfId="0" applyNumberFormat="1" applyFo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c:style val="2"/>
  <c:chart>
    <c:title>
      <c:tx>
        <c:rich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r>
              <a:rPr lang="nl-NL" sz="1000" b="1" i="0">
                <a:solidFill>
                  <a:srgbClr val="000000"/>
                </a:solidFill>
                <a:latin typeface="+mn-lt"/>
              </a:rPr>
              <a:t>REQUIRED MANPOWER DURING mastlifting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xVal>
            <c:numRef>
              <c:f>Blad1!$B$29:$B$47</c:f>
              <c:numCache>
                <c:formatCode>General</c:formatCode>
                <c:ptCount val="19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89.99</c:v>
                </c:pt>
              </c:numCache>
            </c:numRef>
          </c:xVal>
          <c:yVal>
            <c:numRef>
              <c:f>Blad1!$O$29:$O$47</c:f>
              <c:numCache>
                <c:formatCode>0.00</c:formatCode>
                <c:ptCount val="19"/>
                <c:pt idx="0">
                  <c:v>36.290511982657208</c:v>
                </c:pt>
                <c:pt idx="1">
                  <c:v>36.152415628158067</c:v>
                </c:pt>
                <c:pt idx="2">
                  <c:v>35.739177561303251</c:v>
                </c:pt>
                <c:pt idx="3">
                  <c:v>35.0539427733015</c:v>
                </c:pt>
                <c:pt idx="4">
                  <c:v>34.101926314645567</c:v>
                </c:pt>
                <c:pt idx="5">
                  <c:v>32.890373605429076</c:v>
                </c:pt>
                <c:pt idx="6">
                  <c:v>31.428505293324719</c:v>
                </c:pt>
                <c:pt idx="7">
                  <c:v>29.727447078887803</c:v>
                </c:pt>
                <c:pt idx="8">
                  <c:v>27.800145042257242</c:v>
                </c:pt>
                <c:pt idx="9">
                  <c:v>25.661267115668572</c:v>
                </c:pt>
                <c:pt idx="10">
                  <c:v>23.327091451632942</c:v>
                </c:pt>
                <c:pt idx="11">
                  <c:v>20.815382536367458</c:v>
                </c:pt>
                <c:pt idx="12">
                  <c:v>18.145255991328607</c:v>
                </c:pt>
                <c:pt idx="13">
                  <c:v>15.337033091790616</c:v>
                </c:pt>
                <c:pt idx="14">
                  <c:v>12.412086109670321</c:v>
                </c:pt>
                <c:pt idx="15">
                  <c:v>9.3926756576329247</c:v>
                </c:pt>
                <c:pt idx="16">
                  <c:v>6.3017812723883271</c:v>
                </c:pt>
                <c:pt idx="17">
                  <c:v>3.1629265265412769</c:v>
                </c:pt>
                <c:pt idx="18">
                  <c:v>6.3338891811631813E-3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CC-8C4D-BD0A-EB9F7D74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857581"/>
        <c:axId val="1514845575"/>
      </c:scatterChart>
      <c:valAx>
        <c:axId val="1802857581"/>
        <c:scaling>
          <c:orientation val="minMax"/>
          <c:max val="9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nl-NL" sz="800" b="1" i="0">
                    <a:solidFill>
                      <a:srgbClr val="000000"/>
                    </a:solidFill>
                    <a:latin typeface="+mn-lt"/>
                  </a:rPr>
                  <a:t> degrees from horizontal                      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nl-NL"/>
          </a:p>
        </c:txPr>
        <c:crossAx val="1514845575"/>
        <c:crosses val="autoZero"/>
        <c:crossBetween val="midCat"/>
      </c:valAx>
      <c:valAx>
        <c:axId val="1514845575"/>
        <c:scaling>
          <c:orientation val="minMax"/>
          <c:max val="7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nl-NL" sz="800" b="1" i="0">
                    <a:solidFill>
                      <a:srgbClr val="000000"/>
                    </a:solidFill>
                    <a:latin typeface="+mn-lt"/>
                  </a:rPr>
                  <a:t>KG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nl-NL"/>
          </a:p>
        </c:txPr>
        <c:crossAx val="1802857581"/>
        <c:crosses val="autoZero"/>
        <c:crossBetween val="midCat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12</xdr:row>
      <xdr:rowOff>76200</xdr:rowOff>
    </xdr:from>
    <xdr:ext cx="4514850" cy="2552700"/>
    <xdr:graphicFrame macro="">
      <xdr:nvGraphicFramePr>
        <xdr:cNvPr id="1396871723" name="Chart 1" descr="Chart 0">
          <a:extLst>
            <a:ext uri="{FF2B5EF4-FFF2-40B4-BE49-F238E27FC236}">
              <a16:creationId xmlns:a16="http://schemas.microsoft.com/office/drawing/2014/main" id="{00000000-0008-0000-0000-00002B924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18</xdr:row>
      <xdr:rowOff>0</xdr:rowOff>
    </xdr:from>
    <xdr:ext cx="85725" cy="209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07900" y="3679988"/>
          <a:ext cx="762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228600</xdr:colOff>
      <xdr:row>11</xdr:row>
      <xdr:rowOff>57150</xdr:rowOff>
    </xdr:from>
    <xdr:ext cx="3190875" cy="2095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64850" y="2746538"/>
          <a:ext cx="3162300" cy="2066925"/>
        </a:xfrm>
        <a:custGeom>
          <a:avLst/>
          <a:gdLst/>
          <a:ahLst/>
          <a:cxnLst/>
          <a:rect l="l" t="t" r="r" b="b"/>
          <a:pathLst>
            <a:path w="343" h="221" extrusionOk="0">
              <a:moveTo>
                <a:pt x="0" y="89"/>
              </a:moveTo>
              <a:lnTo>
                <a:pt x="95" y="221"/>
              </a:lnTo>
              <a:lnTo>
                <a:pt x="343" y="0"/>
              </a:lnTo>
              <a:lnTo>
                <a:pt x="0" y="8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  <xdr:oneCellAnchor>
    <xdr:from>
      <xdr:col>11</xdr:col>
      <xdr:colOff>257175</xdr:colOff>
      <xdr:row>15</xdr:row>
      <xdr:rowOff>9525</xdr:rowOff>
    </xdr:from>
    <xdr:ext cx="533400" cy="11906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725150" y="3505200"/>
          <a:ext cx="533400" cy="1190625"/>
          <a:chOff x="5079300" y="3184688"/>
          <a:chExt cx="533400" cy="1190625"/>
        </a:xfrm>
      </xdr:grpSpPr>
      <xdr:grpSp>
        <xdr:nvGrp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5079300" y="3184688"/>
            <a:ext cx="533400" cy="1190625"/>
            <a:chOff x="5093588" y="3194213"/>
            <a:chExt cx="504825" cy="1171575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5093588" y="3194213"/>
              <a:ext cx="504825" cy="11715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CxnSpPr/>
          </xdr:nvCxnSpPr>
          <xdr:spPr>
            <a:xfrm flipH="1">
              <a:off x="5093588" y="3194213"/>
              <a:ext cx="504825" cy="1171575"/>
            </a:xfrm>
            <a:prstGeom prst="straightConnector1">
              <a:avLst/>
            </a:prstGeom>
            <a:noFill/>
            <a:ln w="2857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3</xdr:col>
      <xdr:colOff>533400</xdr:colOff>
      <xdr:row>10</xdr:row>
      <xdr:rowOff>133350</xdr:rowOff>
    </xdr:from>
    <xdr:ext cx="9972675" cy="30099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2247" y="2288495"/>
          <a:ext cx="9947506" cy="2983010"/>
        </a:xfrm>
        <a:prstGeom prst="rect">
          <a:avLst/>
        </a:prstGeom>
        <a:noFill/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257175</xdr:colOff>
      <xdr:row>21</xdr:row>
      <xdr:rowOff>180975</xdr:rowOff>
    </xdr:from>
    <xdr:ext cx="781050" cy="2000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960238" y="3684750"/>
          <a:ext cx="771525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mast upright</a:t>
          </a:r>
          <a:endParaRPr sz="1400"/>
        </a:p>
      </xdr:txBody>
    </xdr:sp>
    <xdr:clientData fLocksWithSheet="0"/>
  </xdr:oneCellAnchor>
  <xdr:oneCellAnchor>
    <xdr:from>
      <xdr:col>4</xdr:col>
      <xdr:colOff>419100</xdr:colOff>
      <xdr:row>21</xdr:row>
      <xdr:rowOff>180975</xdr:rowOff>
    </xdr:from>
    <xdr:ext cx="609600" cy="2000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45963" y="3684750"/>
          <a:ext cx="600075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lang="en-US" sz="1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mast down</a:t>
          </a:r>
          <a:endParaRPr sz="1400"/>
        </a:p>
      </xdr:txBody>
    </xdr:sp>
    <xdr:clientData fLocksWithSheet="0"/>
  </xdr:oneCellAnchor>
  <xdr:oneCellAnchor>
    <xdr:from>
      <xdr:col>8</xdr:col>
      <xdr:colOff>0</xdr:colOff>
      <xdr:row>9</xdr:row>
      <xdr:rowOff>0</xdr:rowOff>
    </xdr:from>
    <xdr:ext cx="19050" cy="952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0</xdr:row>
      <xdr:rowOff>0</xdr:rowOff>
    </xdr:from>
    <xdr:ext cx="7762875" cy="2505075"/>
    <xdr:pic>
      <xdr:nvPicPr>
        <xdr:cNvPr id="12" name="image3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</xdr:row>
      <xdr:rowOff>0</xdr:rowOff>
    </xdr:from>
    <xdr:ext cx="19050" cy="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</xdr:row>
      <xdr:rowOff>0</xdr:rowOff>
    </xdr:from>
    <xdr:ext cx="19050" cy="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</xdr:row>
      <xdr:rowOff>0</xdr:rowOff>
    </xdr:from>
    <xdr:ext cx="19050" cy="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</xdr:row>
      <xdr:rowOff>0</xdr:rowOff>
    </xdr:from>
    <xdr:ext cx="19050" cy="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ap van der Heide" id="{2AA577F0-A855-104A-90DD-F9B105FB3FA4}" userId="d379a74a50add135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1-04-11T08:15:57.15" personId="{2AA577F0-A855-104A-90DD-F9B105FB3FA4}" id="{B931A95D-FA5A-0A42-A3C0-2E41DFB20E41}">
    <text>pardon?</text>
  </threadedComment>
  <threadedComment ref="B21" dT="2021-04-11T08:11:35.20" personId="{2AA577F0-A855-104A-90DD-F9B105FB3FA4}" id="{4BC144C3-697E-4D48-B2F5-21107155BD91}">
    <text>dit klopt niet</text>
  </threadedComment>
  <threadedComment ref="B22" dT="2021-04-11T08:54:50.74" personId="{2AA577F0-A855-104A-90DD-F9B105FB3FA4}" id="{2F8DA0EA-1969-2F45-8AC1-14DE7AF488B7}">
    <text>Ervan uitgaande dat het eind aan de zijde van het dek wordt belegd wordt de kracht verdeeld over 6 parten, niet over 5.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7"/>
  <sheetViews>
    <sheetView tabSelected="1" workbookViewId="0">
      <selection activeCell="Q29" sqref="Q29:Q47"/>
    </sheetView>
  </sheetViews>
  <sheetFormatPr defaultColWidth="14.42578125" defaultRowHeight="15" customHeight="1" x14ac:dyDescent="0.2"/>
  <cols>
    <col min="1" max="1" width="58" customWidth="1"/>
    <col min="2" max="2" width="8" customWidth="1"/>
    <col min="3" max="3" width="14.5703125" customWidth="1"/>
    <col min="4" max="10" width="8" customWidth="1"/>
    <col min="11" max="11" width="20.42578125" customWidth="1"/>
    <col min="12" max="12" width="8" customWidth="1"/>
    <col min="13" max="13" width="10.85546875" customWidth="1"/>
    <col min="14" max="14" width="11.42578125" customWidth="1"/>
    <col min="15" max="18" width="8" customWidth="1"/>
  </cols>
  <sheetData>
    <row r="1" spans="1:9" ht="24.75" customHeight="1" x14ac:dyDescent="0.35">
      <c r="A1" s="31" t="s">
        <v>0</v>
      </c>
      <c r="B1" s="32"/>
      <c r="C1" s="33"/>
    </row>
    <row r="2" spans="1:9" ht="18.75" customHeight="1" x14ac:dyDescent="0.25">
      <c r="A2" s="1" t="s">
        <v>1</v>
      </c>
      <c r="B2" s="2">
        <v>40</v>
      </c>
      <c r="C2" s="3" t="s">
        <v>2</v>
      </c>
    </row>
    <row r="3" spans="1:9" ht="18" customHeight="1" x14ac:dyDescent="0.25">
      <c r="A3" s="1" t="s">
        <v>3</v>
      </c>
      <c r="B3" s="4">
        <v>9.9</v>
      </c>
      <c r="C3" s="3" t="s">
        <v>4</v>
      </c>
    </row>
    <row r="4" spans="1:9" ht="18" customHeight="1" x14ac:dyDescent="0.25">
      <c r="A4" s="1" t="s">
        <v>5</v>
      </c>
      <c r="B4" s="4">
        <v>2.5</v>
      </c>
      <c r="C4" s="3" t="s">
        <v>4</v>
      </c>
    </row>
    <row r="5" spans="1:9" ht="18" customHeight="1" x14ac:dyDescent="0.25">
      <c r="A5" s="1" t="s">
        <v>6</v>
      </c>
      <c r="B5" s="4">
        <v>0.4</v>
      </c>
      <c r="C5" s="3" t="s">
        <v>4</v>
      </c>
    </row>
    <row r="6" spans="1:9" ht="18" customHeight="1" x14ac:dyDescent="0.25">
      <c r="A6" s="1" t="s">
        <v>7</v>
      </c>
      <c r="B6" s="4">
        <v>0.4</v>
      </c>
      <c r="C6" s="3" t="s">
        <v>4</v>
      </c>
    </row>
    <row r="7" spans="1:9" ht="18" customHeight="1" x14ac:dyDescent="0.25">
      <c r="A7" s="1" t="s">
        <v>8</v>
      </c>
      <c r="B7" s="4">
        <v>6</v>
      </c>
      <c r="C7" s="3"/>
    </row>
    <row r="8" spans="1:9" ht="13.5" customHeight="1" x14ac:dyDescent="0.2">
      <c r="A8" s="5"/>
      <c r="B8" s="6"/>
      <c r="C8" s="7"/>
    </row>
    <row r="9" spans="1:9" ht="24.75" customHeight="1" x14ac:dyDescent="0.35">
      <c r="A9" s="34" t="s">
        <v>9</v>
      </c>
      <c r="B9" s="32"/>
      <c r="C9" s="33"/>
    </row>
    <row r="10" spans="1:9" ht="13.5" customHeight="1" x14ac:dyDescent="0.2">
      <c r="A10" s="8"/>
      <c r="B10" s="9"/>
      <c r="C10" s="10"/>
    </row>
    <row r="11" spans="1:9" ht="18" customHeight="1" x14ac:dyDescent="0.25">
      <c r="A11" s="11" t="s">
        <v>10</v>
      </c>
      <c r="B11" s="9">
        <f>(B3+B6)/(B4-B5)</f>
        <v>4.9047619047619051</v>
      </c>
      <c r="C11" s="10"/>
    </row>
    <row r="12" spans="1:9" ht="18" customHeight="1" x14ac:dyDescent="0.25">
      <c r="A12" s="12" t="s">
        <v>11</v>
      </c>
      <c r="B12" s="9">
        <f>DEGREES(ATAN(B11))</f>
        <v>78.476278296102677</v>
      </c>
      <c r="C12" s="10"/>
    </row>
    <row r="13" spans="1:9" ht="18" customHeight="1" x14ac:dyDescent="0.25">
      <c r="A13" s="11" t="s">
        <v>12</v>
      </c>
      <c r="B13" s="9">
        <f>180-90-B12</f>
        <v>11.523721703897323</v>
      </c>
      <c r="C13" s="10"/>
    </row>
    <row r="14" spans="1:9" ht="18" customHeight="1" x14ac:dyDescent="0.25">
      <c r="A14" s="11" t="s">
        <v>13</v>
      </c>
      <c r="B14" s="9">
        <f>180-45-B12</f>
        <v>56.523721703897323</v>
      </c>
      <c r="C14" s="10"/>
    </row>
    <row r="15" spans="1:9" ht="18" customHeight="1" x14ac:dyDescent="0.25">
      <c r="A15" s="11" t="s">
        <v>14</v>
      </c>
      <c r="B15" s="9">
        <f>(B3+B6)/COS(RADIANS(B13))</f>
        <v>10.51189802081432</v>
      </c>
      <c r="C15" s="10"/>
    </row>
    <row r="16" spans="1:9" ht="18.75" customHeight="1" x14ac:dyDescent="0.25">
      <c r="A16" s="13" t="s">
        <v>15</v>
      </c>
      <c r="B16" s="14">
        <f>B4*SQRT(2)</f>
        <v>3.5355339059327378</v>
      </c>
      <c r="C16" s="15"/>
      <c r="I16" s="9"/>
    </row>
    <row r="17" spans="1:18" ht="24.75" customHeight="1" x14ac:dyDescent="0.35">
      <c r="A17" s="34" t="s">
        <v>16</v>
      </c>
      <c r="B17" s="32"/>
      <c r="C17" s="33"/>
      <c r="F17" s="16"/>
      <c r="R17" s="17" t="s">
        <v>17</v>
      </c>
    </row>
    <row r="18" spans="1:18" ht="13.5" customHeight="1" x14ac:dyDescent="0.25">
      <c r="A18" s="18" t="s">
        <v>18</v>
      </c>
      <c r="B18" s="26">
        <f>(COS((180-B12-B14/180*3.14))*B20)+((COS(B12/180*3.14))*B20)</f>
        <v>120.17915500242246</v>
      </c>
      <c r="C18" s="19" t="s">
        <v>19</v>
      </c>
    </row>
    <row r="19" spans="1:18" ht="18" customHeight="1" x14ac:dyDescent="0.25">
      <c r="A19" s="11" t="s">
        <v>20</v>
      </c>
      <c r="B19" s="9">
        <f>$B$2/2</f>
        <v>20</v>
      </c>
      <c r="C19" s="20" t="s">
        <v>19</v>
      </c>
      <c r="M19" s="21" t="s">
        <v>21</v>
      </c>
    </row>
    <row r="20" spans="1:18" ht="18" customHeight="1" x14ac:dyDescent="0.25">
      <c r="A20" s="11" t="s">
        <v>22</v>
      </c>
      <c r="B20" s="9">
        <f>$B$19/SIN(RADIANS($B$13))</f>
        <v>100.11331448394596</v>
      </c>
      <c r="C20" s="20" t="s">
        <v>19</v>
      </c>
      <c r="L20" s="21" t="s">
        <v>23</v>
      </c>
      <c r="N20" s="21" t="s">
        <v>24</v>
      </c>
      <c r="O20" s="21" t="s">
        <v>25</v>
      </c>
    </row>
    <row r="21" spans="1:18" ht="18" customHeight="1" x14ac:dyDescent="0.25">
      <c r="A21" s="11" t="s">
        <v>26</v>
      </c>
      <c r="B21" s="25">
        <f>$B$20/(COS((180-45-$B$12)*3.14/180))</f>
        <v>181.36181398988509</v>
      </c>
      <c r="C21" s="20" t="s">
        <v>19</v>
      </c>
      <c r="L21" s="21" t="s">
        <v>27</v>
      </c>
      <c r="M21" s="21" t="s">
        <v>28</v>
      </c>
      <c r="P21" s="22" t="s">
        <v>29</v>
      </c>
    </row>
    <row r="22" spans="1:18" ht="18.75" customHeight="1" x14ac:dyDescent="0.25">
      <c r="A22" s="13" t="s">
        <v>30</v>
      </c>
      <c r="B22" s="27">
        <f>$B$21/($B$7-1)</f>
        <v>36.272362797977017</v>
      </c>
      <c r="C22" s="20" t="s">
        <v>19</v>
      </c>
    </row>
    <row r="23" spans="1:18" ht="13.5" customHeight="1" x14ac:dyDescent="0.2">
      <c r="A23" s="23" t="s">
        <v>54</v>
      </c>
      <c r="B23" s="29">
        <f>B24/B7</f>
        <v>23.121269353083949</v>
      </c>
      <c r="C23" s="23" t="s">
        <v>19</v>
      </c>
    </row>
    <row r="24" spans="1:18" ht="12.75" customHeight="1" x14ac:dyDescent="0.2">
      <c r="A24" t="s">
        <v>52</v>
      </c>
      <c r="B24" s="28">
        <f>$B$20*SIN(RADIANS($B$12))/SIN(RADIANS(45))</f>
        <v>138.7276161185037</v>
      </c>
      <c r="C24" t="s">
        <v>19</v>
      </c>
    </row>
    <row r="25" spans="1:18" ht="18" customHeight="1" x14ac:dyDescent="0.25">
      <c r="A25" s="17" t="s">
        <v>53</v>
      </c>
      <c r="B25" s="28">
        <f>B20*COS(RADIANS(B12))+B24*COS(RADIANS(45))</f>
        <v>118.09523809523819</v>
      </c>
      <c r="C25" t="s">
        <v>19</v>
      </c>
      <c r="N25" s="16" t="s">
        <v>31</v>
      </c>
    </row>
    <row r="26" spans="1:18" ht="18" customHeight="1" x14ac:dyDescent="0.25">
      <c r="A26" s="17">
        <f>(COS((180-B12-B14/180*3.14))*B20)+((COS(B12/180*3.14))*B20)</f>
        <v>120.17915500242246</v>
      </c>
      <c r="M26" s="16" t="s">
        <v>32</v>
      </c>
      <c r="N26" s="16" t="s">
        <v>33</v>
      </c>
    </row>
    <row r="27" spans="1:18" ht="18" customHeight="1" x14ac:dyDescent="0.25">
      <c r="A27" s="17">
        <f>(COS(B12))</f>
        <v>-0.9979821374986475</v>
      </c>
      <c r="C27" s="16" t="s">
        <v>34</v>
      </c>
      <c r="M27" s="16" t="s">
        <v>35</v>
      </c>
      <c r="N27" s="16" t="s">
        <v>36</v>
      </c>
      <c r="O27" s="16" t="s">
        <v>37</v>
      </c>
      <c r="Q27" s="24" t="s">
        <v>38</v>
      </c>
    </row>
    <row r="28" spans="1:18" ht="18" customHeight="1" x14ac:dyDescent="0.25">
      <c r="B28" s="21" t="s">
        <v>39</v>
      </c>
      <c r="C28" s="16" t="s">
        <v>40</v>
      </c>
      <c r="D28" s="21" t="s">
        <v>41</v>
      </c>
      <c r="E28" s="21" t="s">
        <v>42</v>
      </c>
      <c r="F28" s="21" t="s">
        <v>43</v>
      </c>
      <c r="G28" s="21" t="s">
        <v>44</v>
      </c>
      <c r="H28" s="21" t="s">
        <v>45</v>
      </c>
      <c r="I28" s="21" t="s">
        <v>46</v>
      </c>
      <c r="J28" s="22" t="s">
        <v>29</v>
      </c>
      <c r="K28" s="22" t="s">
        <v>47</v>
      </c>
      <c r="M28" s="16" t="s">
        <v>48</v>
      </c>
      <c r="N28" s="16" t="s">
        <v>49</v>
      </c>
      <c r="O28" s="16" t="s">
        <v>50</v>
      </c>
      <c r="Q28" s="24" t="s">
        <v>51</v>
      </c>
    </row>
    <row r="29" spans="1:18" ht="12.75" customHeight="1" x14ac:dyDescent="0.2">
      <c r="B29" s="17">
        <v>0</v>
      </c>
      <c r="C29" s="24">
        <f t="shared" ref="C29:C47" si="0">B29/90*100</f>
        <v>0</v>
      </c>
      <c r="D29" s="30">
        <f t="shared" ref="D29:D47" si="1">180-B29-90</f>
        <v>90</v>
      </c>
      <c r="E29" s="30">
        <f t="shared" ref="E29:E47" si="2">COS(RADIANS(D29))*$B$4</f>
        <v>1.5308084989341916E-16</v>
      </c>
      <c r="F29" s="30">
        <f t="shared" ref="F29:F47" si="3">$B$4-E29</f>
        <v>2.5</v>
      </c>
      <c r="G29" s="30">
        <f t="shared" ref="G29:G47" si="4">($B$4^2-E29^2)^0.5</f>
        <v>2.5</v>
      </c>
      <c r="H29" s="30">
        <f t="shared" ref="H29:H47" si="5">G29/F29</f>
        <v>1</v>
      </c>
      <c r="I29" s="30">
        <f t="shared" ref="I29:I47" si="6">DEGREES(ATAN(H29))</f>
        <v>45</v>
      </c>
      <c r="J29" s="24">
        <f t="shared" ref="J29:J47" si="7">COS(RADIANS(B29))</f>
        <v>1</v>
      </c>
      <c r="K29" s="24">
        <f t="shared" ref="K29:K47" si="8">J29*$B$2/2</f>
        <v>20</v>
      </c>
      <c r="L29" s="24">
        <f t="shared" ref="L29:L47" si="9">K29/(SIN($B$13*3.14/180))</f>
        <v>100.16340703081518</v>
      </c>
      <c r="M29" s="24">
        <f t="shared" ref="M29:M47" si="10">K29/(SIN($B$13*3.14/180))</f>
        <v>100.16340703081518</v>
      </c>
      <c r="N29" s="30">
        <f t="shared" ref="N29:N47" si="11">M29/(COS((180-45-$B$12)*3.14/180))</f>
        <v>181.45255991328605</v>
      </c>
      <c r="O29" s="30">
        <f t="shared" ref="O29:O47" si="12">N29/($B$7-1)</f>
        <v>36.290511982657208</v>
      </c>
      <c r="Q29" s="30">
        <f t="shared" ref="Q29:Q47" si="13">COS(I29/(180/3.14))*M29</f>
        <v>70.854419133418077</v>
      </c>
    </row>
    <row r="30" spans="1:18" ht="12.75" customHeight="1" x14ac:dyDescent="0.2">
      <c r="B30" s="17">
        <v>5</v>
      </c>
      <c r="C30" s="24">
        <f t="shared" si="0"/>
        <v>5.5555555555555554</v>
      </c>
      <c r="D30" s="30">
        <f t="shared" si="1"/>
        <v>85</v>
      </c>
      <c r="E30" s="30">
        <f t="shared" si="2"/>
        <v>0.21788935686914535</v>
      </c>
      <c r="F30" s="30">
        <f t="shared" si="3"/>
        <v>2.2821106431308547</v>
      </c>
      <c r="G30" s="30">
        <f t="shared" si="4"/>
        <v>2.4904867452293638</v>
      </c>
      <c r="H30" s="30">
        <f t="shared" si="5"/>
        <v>1.0913085010692714</v>
      </c>
      <c r="I30" s="30">
        <f t="shared" si="6"/>
        <v>47.5</v>
      </c>
      <c r="J30" s="24">
        <f t="shared" si="7"/>
        <v>0.99619469809174555</v>
      </c>
      <c r="K30" s="24">
        <f t="shared" si="8"/>
        <v>19.92389396183491</v>
      </c>
      <c r="L30" s="30">
        <f t="shared" si="9"/>
        <v>99.782255026903542</v>
      </c>
      <c r="M30" s="30">
        <f t="shared" si="10"/>
        <v>99.782255026903542</v>
      </c>
      <c r="N30" s="30">
        <f t="shared" si="11"/>
        <v>180.76207814079035</v>
      </c>
      <c r="O30" s="30">
        <f t="shared" si="12"/>
        <v>36.152415628158067</v>
      </c>
      <c r="Q30" s="30">
        <f t="shared" si="13"/>
        <v>67.442827519956424</v>
      </c>
    </row>
    <row r="31" spans="1:18" ht="12.75" customHeight="1" x14ac:dyDescent="0.2">
      <c r="B31" s="17">
        <f t="shared" ref="B31:B46" si="14">B30+5</f>
        <v>10</v>
      </c>
      <c r="C31" s="24">
        <f t="shared" si="0"/>
        <v>11.111111111111111</v>
      </c>
      <c r="D31" s="30">
        <f t="shared" si="1"/>
        <v>80</v>
      </c>
      <c r="E31" s="30">
        <f t="shared" si="2"/>
        <v>0.43412044416732604</v>
      </c>
      <c r="F31" s="30">
        <f t="shared" si="3"/>
        <v>2.0658795558326739</v>
      </c>
      <c r="G31" s="30">
        <f t="shared" si="4"/>
        <v>2.4620193825305203</v>
      </c>
      <c r="H31" s="30">
        <f t="shared" si="5"/>
        <v>1.1917535925942102</v>
      </c>
      <c r="I31" s="30">
        <f t="shared" si="6"/>
        <v>50.000000000000007</v>
      </c>
      <c r="J31" s="24">
        <f t="shared" si="7"/>
        <v>0.98480775301220802</v>
      </c>
      <c r="K31" s="24">
        <f t="shared" si="8"/>
        <v>19.696155060244159</v>
      </c>
      <c r="L31" s="30">
        <f t="shared" si="9"/>
        <v>98.641699812064289</v>
      </c>
      <c r="M31" s="30">
        <f t="shared" si="10"/>
        <v>98.641699812064289</v>
      </c>
      <c r="N31" s="30">
        <f t="shared" si="11"/>
        <v>178.69588780651625</v>
      </c>
      <c r="O31" s="30">
        <f t="shared" si="12"/>
        <v>35.739177561303251</v>
      </c>
      <c r="Q31" s="30">
        <f t="shared" si="13"/>
        <v>63.439085997722813</v>
      </c>
    </row>
    <row r="32" spans="1:18" ht="12.75" customHeight="1" x14ac:dyDescent="0.2">
      <c r="B32" s="17">
        <f t="shared" si="14"/>
        <v>15</v>
      </c>
      <c r="C32" s="24">
        <f t="shared" si="0"/>
        <v>16.666666666666664</v>
      </c>
      <c r="D32" s="30">
        <f t="shared" si="1"/>
        <v>75</v>
      </c>
      <c r="E32" s="30">
        <f t="shared" si="2"/>
        <v>0.64704761275630185</v>
      </c>
      <c r="F32" s="30">
        <f t="shared" si="3"/>
        <v>1.8529523872436982</v>
      </c>
      <c r="G32" s="30">
        <f t="shared" si="4"/>
        <v>2.4148145657226707</v>
      </c>
      <c r="H32" s="30">
        <f t="shared" si="5"/>
        <v>1.3032253728412058</v>
      </c>
      <c r="I32" s="30">
        <f t="shared" si="6"/>
        <v>52.500000000000007</v>
      </c>
      <c r="J32" s="24">
        <f t="shared" si="7"/>
        <v>0.96592582628906831</v>
      </c>
      <c r="K32" s="24">
        <f t="shared" si="8"/>
        <v>19.318516525781366</v>
      </c>
      <c r="L32" s="30">
        <f t="shared" si="9"/>
        <v>96.750421700168417</v>
      </c>
      <c r="M32" s="30">
        <f t="shared" si="10"/>
        <v>96.750421700168417</v>
      </c>
      <c r="N32" s="30">
        <f t="shared" si="11"/>
        <v>175.26971386650749</v>
      </c>
      <c r="O32" s="30">
        <f t="shared" si="12"/>
        <v>35.0539427733015</v>
      </c>
      <c r="Q32" s="30">
        <f t="shared" si="13"/>
        <v>58.933574206946957</v>
      </c>
    </row>
    <row r="33" spans="1:17" ht="12.75" customHeight="1" x14ac:dyDescent="0.2">
      <c r="B33" s="17">
        <f t="shared" si="14"/>
        <v>20</v>
      </c>
      <c r="C33" s="24">
        <f t="shared" si="0"/>
        <v>22.222222222222221</v>
      </c>
      <c r="D33" s="30">
        <f t="shared" si="1"/>
        <v>70</v>
      </c>
      <c r="E33" s="30">
        <f t="shared" si="2"/>
        <v>0.85505035831417209</v>
      </c>
      <c r="F33" s="30">
        <f t="shared" si="3"/>
        <v>1.644949641685828</v>
      </c>
      <c r="G33" s="30">
        <f t="shared" si="4"/>
        <v>2.3492315519647708</v>
      </c>
      <c r="H33" s="30">
        <f t="shared" si="5"/>
        <v>1.4281480067421146</v>
      </c>
      <c r="I33" s="30">
        <f t="shared" si="6"/>
        <v>55</v>
      </c>
      <c r="J33" s="24">
        <f t="shared" si="7"/>
        <v>0.93969262078590843</v>
      </c>
      <c r="K33" s="24">
        <f t="shared" si="8"/>
        <v>18.79385241571817</v>
      </c>
      <c r="L33" s="30">
        <f t="shared" si="9"/>
        <v>94.122814459632409</v>
      </c>
      <c r="M33" s="30">
        <f t="shared" si="10"/>
        <v>94.122814459632409</v>
      </c>
      <c r="N33" s="30">
        <f t="shared" si="11"/>
        <v>170.50963157322784</v>
      </c>
      <c r="O33" s="30">
        <f t="shared" si="12"/>
        <v>34.101926314645567</v>
      </c>
      <c r="Q33" s="30">
        <f t="shared" si="13"/>
        <v>54.024142803107907</v>
      </c>
    </row>
    <row r="34" spans="1:17" ht="12.75" customHeight="1" x14ac:dyDescent="0.2">
      <c r="A34" s="17">
        <f>COS(B12/180*3.14)</f>
        <v>0.20045394642978942</v>
      </c>
      <c r="B34" s="17">
        <f t="shared" si="14"/>
        <v>25</v>
      </c>
      <c r="C34" s="24">
        <f t="shared" si="0"/>
        <v>27.777777777777779</v>
      </c>
      <c r="D34" s="30">
        <f t="shared" si="1"/>
        <v>65</v>
      </c>
      <c r="E34" s="30">
        <f t="shared" si="2"/>
        <v>1.0565456543517486</v>
      </c>
      <c r="F34" s="30">
        <f t="shared" si="3"/>
        <v>1.4434543456482514</v>
      </c>
      <c r="G34" s="30">
        <f t="shared" si="4"/>
        <v>2.2657694675916247</v>
      </c>
      <c r="H34" s="30">
        <f t="shared" si="5"/>
        <v>1.5696855771174902</v>
      </c>
      <c r="I34" s="30">
        <f t="shared" si="6"/>
        <v>57.5</v>
      </c>
      <c r="J34" s="24">
        <f t="shared" si="7"/>
        <v>0.90630778703664994</v>
      </c>
      <c r="K34" s="24">
        <f t="shared" si="8"/>
        <v>18.126155740732997</v>
      </c>
      <c r="L34" s="30">
        <f t="shared" si="9"/>
        <v>90.778875768149319</v>
      </c>
      <c r="M34" s="30">
        <f t="shared" si="10"/>
        <v>90.778875768149319</v>
      </c>
      <c r="N34" s="30">
        <f t="shared" si="11"/>
        <v>164.45186802714539</v>
      </c>
      <c r="O34" s="30">
        <f t="shared" si="12"/>
        <v>32.890373605429076</v>
      </c>
      <c r="Q34" s="30">
        <f t="shared" si="13"/>
        <v>48.814400162410834</v>
      </c>
    </row>
    <row r="35" spans="1:17" ht="12.75" customHeight="1" x14ac:dyDescent="0.2">
      <c r="B35" s="17">
        <f t="shared" si="14"/>
        <v>30</v>
      </c>
      <c r="C35" s="24">
        <f t="shared" si="0"/>
        <v>33.333333333333329</v>
      </c>
      <c r="D35" s="30">
        <f t="shared" si="1"/>
        <v>60</v>
      </c>
      <c r="E35" s="30">
        <f t="shared" si="2"/>
        <v>1.2500000000000002</v>
      </c>
      <c r="F35" s="30">
        <f t="shared" si="3"/>
        <v>1.2499999999999998</v>
      </c>
      <c r="G35" s="30">
        <f t="shared" si="4"/>
        <v>2.1650635094610964</v>
      </c>
      <c r="H35" s="30">
        <f t="shared" si="5"/>
        <v>1.7320508075688774</v>
      </c>
      <c r="I35" s="30">
        <f t="shared" si="6"/>
        <v>60.000000000000007</v>
      </c>
      <c r="J35" s="24">
        <f t="shared" si="7"/>
        <v>0.86602540378443871</v>
      </c>
      <c r="K35" s="24">
        <f t="shared" si="8"/>
        <v>17.320508075688775</v>
      </c>
      <c r="L35" s="30">
        <f t="shared" si="9"/>
        <v>86.744055018286801</v>
      </c>
      <c r="M35" s="30">
        <f t="shared" si="10"/>
        <v>86.744055018286801</v>
      </c>
      <c r="N35" s="30">
        <f t="shared" si="11"/>
        <v>157.14252646662359</v>
      </c>
      <c r="O35" s="30">
        <f t="shared" si="12"/>
        <v>31.428505293324719</v>
      </c>
      <c r="Q35" s="30">
        <f t="shared" si="13"/>
        <v>43.411902797762487</v>
      </c>
    </row>
    <row r="36" spans="1:17" ht="12.75" customHeight="1" x14ac:dyDescent="0.2">
      <c r="B36" s="17">
        <f t="shared" si="14"/>
        <v>35</v>
      </c>
      <c r="C36" s="24">
        <f t="shared" si="0"/>
        <v>38.888888888888893</v>
      </c>
      <c r="D36" s="30">
        <f t="shared" si="1"/>
        <v>55</v>
      </c>
      <c r="E36" s="30">
        <f t="shared" si="2"/>
        <v>1.4339410908776151</v>
      </c>
      <c r="F36" s="30">
        <f t="shared" si="3"/>
        <v>1.0660589091223849</v>
      </c>
      <c r="G36" s="30">
        <f t="shared" si="4"/>
        <v>2.0478801107224793</v>
      </c>
      <c r="H36" s="30">
        <f t="shared" si="5"/>
        <v>1.9209821269711655</v>
      </c>
      <c r="I36" s="30">
        <f t="shared" si="6"/>
        <v>62.500000000000007</v>
      </c>
      <c r="J36" s="24">
        <f t="shared" si="7"/>
        <v>0.8191520442889918</v>
      </c>
      <c r="K36" s="24">
        <f t="shared" si="8"/>
        <v>16.383040885779835</v>
      </c>
      <c r="L36" s="30">
        <f t="shared" si="9"/>
        <v>82.049059632242617</v>
      </c>
      <c r="M36" s="30">
        <f t="shared" si="10"/>
        <v>82.049059632242617</v>
      </c>
      <c r="N36" s="30">
        <f t="shared" si="11"/>
        <v>148.63723539443902</v>
      </c>
      <c r="O36" s="30">
        <f t="shared" si="12"/>
        <v>29.727447078887803</v>
      </c>
      <c r="Q36" s="30">
        <f t="shared" si="13"/>
        <v>37.926280508572987</v>
      </c>
    </row>
    <row r="37" spans="1:17" ht="12.75" customHeight="1" x14ac:dyDescent="0.2">
      <c r="B37" s="17">
        <f t="shared" si="14"/>
        <v>40</v>
      </c>
      <c r="C37" s="24">
        <f t="shared" si="0"/>
        <v>44.444444444444443</v>
      </c>
      <c r="D37" s="30">
        <f t="shared" si="1"/>
        <v>50</v>
      </c>
      <c r="E37" s="30">
        <f t="shared" si="2"/>
        <v>1.6069690242163484</v>
      </c>
      <c r="F37" s="30">
        <f t="shared" si="3"/>
        <v>0.89303097578365165</v>
      </c>
      <c r="G37" s="30">
        <f t="shared" si="4"/>
        <v>1.9151111077974452</v>
      </c>
      <c r="H37" s="30">
        <f t="shared" si="5"/>
        <v>2.144506920509559</v>
      </c>
      <c r="I37" s="30">
        <f t="shared" si="6"/>
        <v>65</v>
      </c>
      <c r="J37" s="24">
        <f t="shared" si="7"/>
        <v>0.76604444311897801</v>
      </c>
      <c r="K37" s="24">
        <f t="shared" si="8"/>
        <v>15.32088886237956</v>
      </c>
      <c r="L37" s="30">
        <f t="shared" si="9"/>
        <v>76.729621359820342</v>
      </c>
      <c r="M37" s="30">
        <f t="shared" si="10"/>
        <v>76.729621359820342</v>
      </c>
      <c r="N37" s="30">
        <f t="shared" si="11"/>
        <v>139.00072521128621</v>
      </c>
      <c r="O37" s="30">
        <f t="shared" si="12"/>
        <v>27.800145042257242</v>
      </c>
      <c r="Q37" s="30">
        <f t="shared" si="13"/>
        <v>32.467328399742343</v>
      </c>
    </row>
    <row r="38" spans="1:17" ht="12.75" customHeight="1" x14ac:dyDescent="0.2">
      <c r="B38" s="17">
        <f t="shared" si="14"/>
        <v>45</v>
      </c>
      <c r="C38" s="24">
        <f t="shared" si="0"/>
        <v>50</v>
      </c>
      <c r="D38" s="30">
        <f t="shared" si="1"/>
        <v>45</v>
      </c>
      <c r="E38" s="30">
        <f t="shared" si="2"/>
        <v>1.7677669529663689</v>
      </c>
      <c r="F38" s="30">
        <f t="shared" si="3"/>
        <v>0.73223304703363112</v>
      </c>
      <c r="G38" s="30">
        <f t="shared" si="4"/>
        <v>1.7677669529663687</v>
      </c>
      <c r="H38" s="30">
        <f t="shared" si="5"/>
        <v>2.4142135623730949</v>
      </c>
      <c r="I38" s="30">
        <f t="shared" si="6"/>
        <v>67.5</v>
      </c>
      <c r="J38" s="24">
        <f t="shared" si="7"/>
        <v>0.70710678118654757</v>
      </c>
      <c r="K38" s="24">
        <f t="shared" si="8"/>
        <v>14.142135623730951</v>
      </c>
      <c r="L38" s="30">
        <f t="shared" si="9"/>
        <v>70.826224338237722</v>
      </c>
      <c r="M38" s="30">
        <f t="shared" si="10"/>
        <v>70.826224338237722</v>
      </c>
      <c r="N38" s="30">
        <f t="shared" si="11"/>
        <v>128.30633557834287</v>
      </c>
      <c r="O38" s="30">
        <f t="shared" si="12"/>
        <v>25.661267115668572</v>
      </c>
      <c r="Q38" s="30">
        <f t="shared" si="13"/>
        <v>27.143098467432811</v>
      </c>
    </row>
    <row r="39" spans="1:17" ht="12.75" customHeight="1" x14ac:dyDescent="0.2">
      <c r="B39" s="17">
        <f t="shared" si="14"/>
        <v>50</v>
      </c>
      <c r="C39" s="24">
        <f t="shared" si="0"/>
        <v>55.555555555555557</v>
      </c>
      <c r="D39" s="30">
        <f t="shared" si="1"/>
        <v>40</v>
      </c>
      <c r="E39" s="30">
        <f t="shared" si="2"/>
        <v>1.915111107797445</v>
      </c>
      <c r="F39" s="30">
        <f t="shared" si="3"/>
        <v>0.58488889220255502</v>
      </c>
      <c r="G39" s="30">
        <f t="shared" si="4"/>
        <v>1.6069690242163484</v>
      </c>
      <c r="H39" s="30">
        <f t="shared" si="5"/>
        <v>2.7474774194546216</v>
      </c>
      <c r="I39" s="30">
        <f t="shared" si="6"/>
        <v>70</v>
      </c>
      <c r="J39" s="24">
        <f t="shared" si="7"/>
        <v>0.64278760968653936</v>
      </c>
      <c r="K39" s="24">
        <f t="shared" si="8"/>
        <v>12.855752193730787</v>
      </c>
      <c r="L39" s="30">
        <f t="shared" si="9"/>
        <v>64.383796983397602</v>
      </c>
      <c r="M39" s="30">
        <f t="shared" si="10"/>
        <v>64.383796983397602</v>
      </c>
      <c r="N39" s="30">
        <f t="shared" si="11"/>
        <v>116.63545725816471</v>
      </c>
      <c r="O39" s="30">
        <f t="shared" si="12"/>
        <v>23.327091451632942</v>
      </c>
      <c r="Q39" s="30">
        <f t="shared" si="13"/>
        <v>22.058023452075986</v>
      </c>
    </row>
    <row r="40" spans="1:17" ht="12.75" customHeight="1" x14ac:dyDescent="0.2">
      <c r="B40" s="17">
        <f t="shared" si="14"/>
        <v>55</v>
      </c>
      <c r="C40" s="24">
        <f t="shared" si="0"/>
        <v>61.111111111111114</v>
      </c>
      <c r="D40" s="30">
        <f t="shared" si="1"/>
        <v>35</v>
      </c>
      <c r="E40" s="30">
        <f t="shared" si="2"/>
        <v>2.0478801107224793</v>
      </c>
      <c r="F40" s="30">
        <f t="shared" si="3"/>
        <v>0.45211988927752067</v>
      </c>
      <c r="G40" s="30">
        <f t="shared" si="4"/>
        <v>1.4339410908776156</v>
      </c>
      <c r="H40" s="30">
        <f t="shared" si="5"/>
        <v>3.1715948023632121</v>
      </c>
      <c r="I40" s="30">
        <f t="shared" si="6"/>
        <v>72.5</v>
      </c>
      <c r="J40" s="24">
        <f t="shared" si="7"/>
        <v>0.57357643635104605</v>
      </c>
      <c r="K40" s="24">
        <f t="shared" si="8"/>
        <v>11.471528727020921</v>
      </c>
      <c r="L40" s="30">
        <f t="shared" si="9"/>
        <v>57.451370057514282</v>
      </c>
      <c r="M40" s="30">
        <f t="shared" si="10"/>
        <v>57.451370057514282</v>
      </c>
      <c r="N40" s="30">
        <f t="shared" si="11"/>
        <v>104.07691268183729</v>
      </c>
      <c r="O40" s="30">
        <f t="shared" si="12"/>
        <v>20.815382536367458</v>
      </c>
      <c r="Q40" s="30">
        <f t="shared" si="13"/>
        <v>17.311105102475739</v>
      </c>
    </row>
    <row r="41" spans="1:17" ht="12.75" customHeight="1" x14ac:dyDescent="0.2">
      <c r="B41" s="17">
        <f t="shared" si="14"/>
        <v>60</v>
      </c>
      <c r="C41" s="24">
        <f t="shared" si="0"/>
        <v>66.666666666666657</v>
      </c>
      <c r="D41" s="30">
        <f t="shared" si="1"/>
        <v>30</v>
      </c>
      <c r="E41" s="30">
        <f t="shared" si="2"/>
        <v>2.1650635094610968</v>
      </c>
      <c r="F41" s="30">
        <f t="shared" si="3"/>
        <v>0.33493649053890318</v>
      </c>
      <c r="G41" s="30">
        <f t="shared" si="4"/>
        <v>1.2499999999999996</v>
      </c>
      <c r="H41" s="30">
        <f t="shared" si="5"/>
        <v>3.7320508075688781</v>
      </c>
      <c r="I41" s="30">
        <f t="shared" si="6"/>
        <v>75</v>
      </c>
      <c r="J41" s="24">
        <f t="shared" si="7"/>
        <v>0.50000000000000011</v>
      </c>
      <c r="K41" s="24">
        <f t="shared" si="8"/>
        <v>10.000000000000002</v>
      </c>
      <c r="L41" s="30">
        <f t="shared" si="9"/>
        <v>50.081703515407597</v>
      </c>
      <c r="M41" s="30">
        <f t="shared" si="10"/>
        <v>50.081703515407597</v>
      </c>
      <c r="N41" s="30">
        <f t="shared" si="11"/>
        <v>90.72627995664304</v>
      </c>
      <c r="O41" s="30">
        <f t="shared" si="12"/>
        <v>18.145255991328607</v>
      </c>
      <c r="Q41" s="30">
        <f t="shared" si="13"/>
        <v>12.994197888374151</v>
      </c>
    </row>
    <row r="42" spans="1:17" ht="12.75" customHeight="1" x14ac:dyDescent="0.2">
      <c r="B42" s="17">
        <f t="shared" si="14"/>
        <v>65</v>
      </c>
      <c r="C42" s="24">
        <f t="shared" si="0"/>
        <v>72.222222222222214</v>
      </c>
      <c r="D42" s="30">
        <f t="shared" si="1"/>
        <v>25</v>
      </c>
      <c r="E42" s="30">
        <f t="shared" si="2"/>
        <v>2.2657694675916247</v>
      </c>
      <c r="F42" s="30">
        <f t="shared" si="3"/>
        <v>0.23423053240837532</v>
      </c>
      <c r="G42" s="30">
        <f t="shared" si="4"/>
        <v>1.0565456543517491</v>
      </c>
      <c r="H42" s="30">
        <f t="shared" si="5"/>
        <v>4.5107085036620544</v>
      </c>
      <c r="I42" s="30">
        <f t="shared" si="6"/>
        <v>77.5</v>
      </c>
      <c r="J42" s="24">
        <f t="shared" si="7"/>
        <v>0.42261826174069944</v>
      </c>
      <c r="K42" s="24">
        <f t="shared" si="8"/>
        <v>8.452365234813989</v>
      </c>
      <c r="L42" s="30">
        <f t="shared" si="9"/>
        <v>42.330884969389267</v>
      </c>
      <c r="M42" s="30">
        <f t="shared" si="10"/>
        <v>42.330884969389267</v>
      </c>
      <c r="N42" s="30">
        <f t="shared" si="11"/>
        <v>76.68516545895308</v>
      </c>
      <c r="O42" s="30">
        <f t="shared" si="12"/>
        <v>15.337033091790616</v>
      </c>
      <c r="Q42" s="30">
        <f t="shared" si="13"/>
        <v>9.1904175613823078</v>
      </c>
    </row>
    <row r="43" spans="1:17" ht="12.75" customHeight="1" x14ac:dyDescent="0.2">
      <c r="B43" s="17">
        <f t="shared" si="14"/>
        <v>70</v>
      </c>
      <c r="C43" s="24">
        <f t="shared" si="0"/>
        <v>77.777777777777786</v>
      </c>
      <c r="D43" s="30">
        <f t="shared" si="1"/>
        <v>20</v>
      </c>
      <c r="E43" s="30">
        <f t="shared" si="2"/>
        <v>2.3492315519647713</v>
      </c>
      <c r="F43" s="30">
        <f t="shared" si="3"/>
        <v>0.15076844803522871</v>
      </c>
      <c r="G43" s="30">
        <f t="shared" si="4"/>
        <v>0.85505035831417098</v>
      </c>
      <c r="H43" s="30">
        <f t="shared" si="5"/>
        <v>5.6712818196177164</v>
      </c>
      <c r="I43" s="30">
        <f t="shared" si="6"/>
        <v>80.000000000000014</v>
      </c>
      <c r="J43" s="24">
        <f t="shared" si="7"/>
        <v>0.34202014332566882</v>
      </c>
      <c r="K43" s="24">
        <f t="shared" si="8"/>
        <v>6.8404028665133767</v>
      </c>
      <c r="L43" s="30">
        <f t="shared" si="9"/>
        <v>34.257902828666715</v>
      </c>
      <c r="M43" s="30">
        <f t="shared" si="10"/>
        <v>34.257902828666715</v>
      </c>
      <c r="N43" s="30">
        <f t="shared" si="11"/>
        <v>62.060430548351604</v>
      </c>
      <c r="O43" s="30">
        <f t="shared" si="12"/>
        <v>12.412086109670321</v>
      </c>
      <c r="Q43" s="30">
        <f t="shared" si="13"/>
        <v>5.972701823758829</v>
      </c>
    </row>
    <row r="44" spans="1:17" ht="12.75" customHeight="1" x14ac:dyDescent="0.2">
      <c r="B44" s="17">
        <f t="shared" si="14"/>
        <v>75</v>
      </c>
      <c r="C44" s="24">
        <f t="shared" si="0"/>
        <v>83.333333333333343</v>
      </c>
      <c r="D44" s="30">
        <f t="shared" si="1"/>
        <v>15</v>
      </c>
      <c r="E44" s="30">
        <f t="shared" si="2"/>
        <v>2.4148145657226707</v>
      </c>
      <c r="F44" s="30">
        <f t="shared" si="3"/>
        <v>8.5185434277329275E-2</v>
      </c>
      <c r="G44" s="30">
        <f t="shared" si="4"/>
        <v>0.64704761275630163</v>
      </c>
      <c r="H44" s="30">
        <f t="shared" si="5"/>
        <v>7.5957541127251478</v>
      </c>
      <c r="I44" s="30">
        <f t="shared" si="6"/>
        <v>82.5</v>
      </c>
      <c r="J44" s="24">
        <f t="shared" si="7"/>
        <v>0.25881904510252074</v>
      </c>
      <c r="K44" s="24">
        <f t="shared" si="8"/>
        <v>5.1763809020504148</v>
      </c>
      <c r="L44" s="30">
        <f t="shared" si="9"/>
        <v>25.924197361930698</v>
      </c>
      <c r="M44" s="30">
        <f t="shared" si="10"/>
        <v>25.924197361930698</v>
      </c>
      <c r="N44" s="30">
        <f t="shared" si="11"/>
        <v>46.963378288164627</v>
      </c>
      <c r="O44" s="30">
        <f t="shared" si="12"/>
        <v>9.3926756576329247</v>
      </c>
      <c r="Q44" s="30">
        <f t="shared" si="13"/>
        <v>3.4025477577657544</v>
      </c>
    </row>
    <row r="45" spans="1:17" ht="12.75" customHeight="1" x14ac:dyDescent="0.2">
      <c r="B45" s="17">
        <f t="shared" si="14"/>
        <v>80</v>
      </c>
      <c r="C45" s="24">
        <f t="shared" si="0"/>
        <v>88.888888888888886</v>
      </c>
      <c r="D45" s="30">
        <f t="shared" si="1"/>
        <v>10</v>
      </c>
      <c r="E45" s="30">
        <f t="shared" si="2"/>
        <v>2.4620193825305199</v>
      </c>
      <c r="F45" s="30">
        <f t="shared" si="3"/>
        <v>3.7980617469480116E-2</v>
      </c>
      <c r="G45" s="30">
        <f t="shared" si="4"/>
        <v>0.4341204441673277</v>
      </c>
      <c r="H45" s="30">
        <f t="shared" si="5"/>
        <v>11.430052302761311</v>
      </c>
      <c r="I45" s="30">
        <f t="shared" si="6"/>
        <v>84.999999999999986</v>
      </c>
      <c r="J45" s="24">
        <f t="shared" si="7"/>
        <v>0.17364817766693041</v>
      </c>
      <c r="K45" s="24">
        <f t="shared" si="8"/>
        <v>3.4729635533386083</v>
      </c>
      <c r="L45" s="30">
        <f t="shared" si="9"/>
        <v>17.393193099812063</v>
      </c>
      <c r="M45" s="30">
        <f t="shared" si="10"/>
        <v>17.393193099812063</v>
      </c>
      <c r="N45" s="30">
        <f t="shared" si="11"/>
        <v>31.508906361941634</v>
      </c>
      <c r="O45" s="30">
        <f t="shared" si="12"/>
        <v>6.3017812723883271</v>
      </c>
      <c r="Q45" s="30">
        <f t="shared" si="13"/>
        <v>1.5289476398422006</v>
      </c>
    </row>
    <row r="46" spans="1:17" ht="12.75" customHeight="1" x14ac:dyDescent="0.2">
      <c r="B46" s="17">
        <f t="shared" si="14"/>
        <v>85</v>
      </c>
      <c r="C46" s="24">
        <f t="shared" si="0"/>
        <v>94.444444444444443</v>
      </c>
      <c r="D46" s="30">
        <f t="shared" si="1"/>
        <v>5</v>
      </c>
      <c r="E46" s="30">
        <f t="shared" si="2"/>
        <v>2.4904867452293638</v>
      </c>
      <c r="F46" s="30">
        <f t="shared" si="3"/>
        <v>9.513254770636248E-3</v>
      </c>
      <c r="G46" s="30">
        <f t="shared" si="4"/>
        <v>0.21788935686914568</v>
      </c>
      <c r="H46" s="30">
        <f t="shared" si="5"/>
        <v>22.903765548431036</v>
      </c>
      <c r="I46" s="30">
        <f t="shared" si="6"/>
        <v>87.499999999999986</v>
      </c>
      <c r="J46" s="24">
        <f t="shared" si="7"/>
        <v>8.7155742747658138E-2</v>
      </c>
      <c r="K46" s="24">
        <f t="shared" si="8"/>
        <v>1.7431148549531628</v>
      </c>
      <c r="L46" s="30">
        <f t="shared" si="9"/>
        <v>8.7298161359067006</v>
      </c>
      <c r="M46" s="30">
        <f t="shared" si="10"/>
        <v>8.7298161359067006</v>
      </c>
      <c r="N46" s="30">
        <f t="shared" si="11"/>
        <v>15.814632632706385</v>
      </c>
      <c r="O46" s="30">
        <f t="shared" si="12"/>
        <v>3.1629265265412769</v>
      </c>
      <c r="Q46" s="30">
        <f t="shared" si="13"/>
        <v>0.38754136541986162</v>
      </c>
    </row>
    <row r="47" spans="1:17" ht="12.75" customHeight="1" x14ac:dyDescent="0.2">
      <c r="B47" s="17">
        <v>89.99</v>
      </c>
      <c r="C47" s="24">
        <f t="shared" si="0"/>
        <v>99.98888888888888</v>
      </c>
      <c r="D47" s="30">
        <f t="shared" si="1"/>
        <v>1.0000000000005116E-2</v>
      </c>
      <c r="E47" s="30">
        <f t="shared" si="2"/>
        <v>2.4999999619228226</v>
      </c>
      <c r="F47" s="30">
        <f t="shared" si="3"/>
        <v>3.8077177411111052E-8</v>
      </c>
      <c r="G47" s="30">
        <f t="shared" si="4"/>
        <v>4.3633231111537868E-4</v>
      </c>
      <c r="H47" s="30">
        <f t="shared" si="5"/>
        <v>11459.155871886014</v>
      </c>
      <c r="I47" s="30">
        <f t="shared" si="6"/>
        <v>89.994999999999294</v>
      </c>
      <c r="J47" s="24">
        <f t="shared" si="7"/>
        <v>1.7453292431338717E-4</v>
      </c>
      <c r="K47" s="24">
        <f t="shared" si="8"/>
        <v>3.4906584862677433E-3</v>
      </c>
      <c r="L47" s="30">
        <f t="shared" si="9"/>
        <v>1.7481812338280257E-2</v>
      </c>
      <c r="M47" s="30">
        <f t="shared" si="10"/>
        <v>1.7481812338280257E-2</v>
      </c>
      <c r="N47" s="30">
        <f t="shared" si="11"/>
        <v>3.1669445905815906E-2</v>
      </c>
      <c r="O47" s="30">
        <f t="shared" si="12"/>
        <v>6.3338891811631813E-3</v>
      </c>
      <c r="Q47" s="30">
        <f t="shared" si="13"/>
        <v>1.5446036099477172E-5</v>
      </c>
    </row>
    <row r="48" spans="1:17" ht="12.75" customHeight="1" x14ac:dyDescent="0.2">
      <c r="Q48" s="24"/>
    </row>
    <row r="49" spans="17:17" ht="12.75" customHeight="1" x14ac:dyDescent="0.2">
      <c r="Q49" s="24"/>
    </row>
    <row r="50" spans="17:17" ht="12.75" customHeight="1" x14ac:dyDescent="0.2">
      <c r="Q50" s="24"/>
    </row>
    <row r="51" spans="17:17" ht="12.75" customHeight="1" x14ac:dyDescent="0.2">
      <c r="Q51" s="24"/>
    </row>
    <row r="52" spans="17:17" ht="12.75" customHeight="1" x14ac:dyDescent="0.2">
      <c r="Q52" s="24"/>
    </row>
    <row r="53" spans="17:17" ht="12.75" customHeight="1" x14ac:dyDescent="0.2">
      <c r="Q53" s="24"/>
    </row>
    <row r="54" spans="17:17" ht="12.75" customHeight="1" x14ac:dyDescent="0.2">
      <c r="Q54" s="24"/>
    </row>
    <row r="55" spans="17:17" ht="12.75" customHeight="1" x14ac:dyDescent="0.2">
      <c r="Q55" s="24"/>
    </row>
    <row r="56" spans="17:17" ht="12.75" customHeight="1" x14ac:dyDescent="0.2">
      <c r="Q56" s="24"/>
    </row>
    <row r="57" spans="17:17" ht="12.75" customHeight="1" x14ac:dyDescent="0.2">
      <c r="Q57" s="24"/>
    </row>
    <row r="58" spans="17:17" ht="12.75" customHeight="1" x14ac:dyDescent="0.2">
      <c r="Q58" s="24"/>
    </row>
    <row r="59" spans="17:17" ht="12.75" customHeight="1" x14ac:dyDescent="0.2">
      <c r="Q59" s="24"/>
    </row>
    <row r="60" spans="17:17" ht="12.75" customHeight="1" x14ac:dyDescent="0.2">
      <c r="Q60" s="24"/>
    </row>
    <row r="61" spans="17:17" ht="12.75" customHeight="1" x14ac:dyDescent="0.2">
      <c r="Q61" s="24"/>
    </row>
    <row r="62" spans="17:17" ht="12.75" customHeight="1" x14ac:dyDescent="0.2">
      <c r="Q62" s="24"/>
    </row>
    <row r="63" spans="17:17" ht="12.75" customHeight="1" x14ac:dyDescent="0.2">
      <c r="Q63" s="24"/>
    </row>
    <row r="64" spans="17:17" ht="12.75" customHeight="1" x14ac:dyDescent="0.2">
      <c r="Q64" s="24"/>
    </row>
    <row r="65" spans="17:17" ht="12.75" customHeight="1" x14ac:dyDescent="0.2">
      <c r="Q65" s="24"/>
    </row>
    <row r="66" spans="17:17" ht="12.75" customHeight="1" x14ac:dyDescent="0.2"/>
    <row r="67" spans="17:17" ht="12.75" customHeight="1" x14ac:dyDescent="0.2"/>
    <row r="68" spans="17:17" ht="12.75" customHeight="1" x14ac:dyDescent="0.2"/>
    <row r="69" spans="17:17" ht="12.75" customHeight="1" x14ac:dyDescent="0.2"/>
    <row r="70" spans="17:17" ht="12.75" customHeight="1" x14ac:dyDescent="0.2"/>
    <row r="71" spans="17:17" ht="12.75" customHeight="1" x14ac:dyDescent="0.2"/>
    <row r="72" spans="17:17" ht="12.75" customHeight="1" x14ac:dyDescent="0.2"/>
    <row r="73" spans="17:17" ht="12.75" customHeight="1" x14ac:dyDescent="0.2"/>
    <row r="74" spans="17:17" ht="12.75" customHeight="1" x14ac:dyDescent="0.2"/>
    <row r="75" spans="17:17" ht="12.75" customHeight="1" x14ac:dyDescent="0.2"/>
    <row r="76" spans="17:17" ht="12.75" customHeight="1" x14ac:dyDescent="0.2"/>
    <row r="77" spans="17:17" ht="12.75" customHeight="1" x14ac:dyDescent="0.2"/>
    <row r="78" spans="17:17" ht="12.75" customHeight="1" x14ac:dyDescent="0.2"/>
    <row r="79" spans="17:17" ht="12.75" customHeight="1" x14ac:dyDescent="0.2"/>
    <row r="80" spans="17:17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</sheetData>
  <mergeCells count="3">
    <mergeCell ref="A1:C1"/>
    <mergeCell ref="A9:C9"/>
    <mergeCell ref="A17:C17"/>
  </mergeCell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0"/>
  <sheetViews>
    <sheetView workbookViewId="0"/>
  </sheetViews>
  <sheetFormatPr defaultColWidth="14.42578125" defaultRowHeight="15" customHeight="1" x14ac:dyDescent="0.2"/>
  <cols>
    <col min="1" max="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defaultColWidth="14.42578125" defaultRowHeight="15" customHeight="1" x14ac:dyDescent="0.2"/>
  <cols>
    <col min="1" max="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Blankesteijn</dc:creator>
  <cp:lastModifiedBy>Jaap van der Heide</cp:lastModifiedBy>
  <dcterms:created xsi:type="dcterms:W3CDTF">2018-10-08T00:30:32Z</dcterms:created>
  <dcterms:modified xsi:type="dcterms:W3CDTF">2021-04-11T13:08:14Z</dcterms:modified>
</cp:coreProperties>
</file>