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jamja\Documents\Zeilersforum\"/>
    </mc:Choice>
  </mc:AlternateContent>
  <xr:revisionPtr revIDLastSave="0" documentId="8_{66590479-DBC1-41A2-967B-4CC9D40BDD1B}" xr6:coauthVersionLast="45" xr6:coauthVersionMax="45" xr10:uidLastSave="{00000000-0000-0000-0000-000000000000}"/>
  <bookViews>
    <workbookView xWindow="3120" yWindow="3120" windowWidth="15750" windowHeight="11055" xr2:uid="{4ECADFBB-87CB-4A2E-9CA6-4AB3C4D41651}"/>
  </bookViews>
  <sheets>
    <sheet name="Blad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5" i="1" l="1"/>
  <c r="M11" i="1"/>
  <c r="N11" i="1" s="1"/>
  <c r="N14" i="1" s="1"/>
  <c r="N5" i="1"/>
  <c r="N4" i="1"/>
  <c r="M5" i="1"/>
  <c r="M4" i="1"/>
  <c r="B26" i="1"/>
  <c r="C26" i="1"/>
  <c r="D4" i="1"/>
  <c r="F4" i="1" s="1"/>
  <c r="G4" i="1" s="1"/>
  <c r="I4" i="1" s="1"/>
  <c r="D5" i="1"/>
  <c r="F5" i="1" s="1"/>
  <c r="G5" i="1" s="1"/>
  <c r="D9" i="1"/>
  <c r="F9" i="1" s="1"/>
  <c r="G9" i="1" s="1"/>
  <c r="I9" i="1" s="1"/>
  <c r="F8" i="1"/>
  <c r="G8" i="1" s="1"/>
  <c r="F26" i="1" l="1"/>
  <c r="G26" i="1" s="1"/>
  <c r="I26" i="1" s="1"/>
  <c r="H8" i="1"/>
  <c r="I8" i="1"/>
  <c r="I5" i="1"/>
  <c r="G11" i="1"/>
  <c r="H9" i="1"/>
  <c r="H4" i="1"/>
  <c r="H5" i="1"/>
  <c r="H26" i="1" l="1"/>
  <c r="I11" i="1"/>
  <c r="H14" i="1" s="1"/>
  <c r="G15" i="1" s="1"/>
  <c r="F11" i="1"/>
  <c r="H11" i="1"/>
  <c r="F15" i="1" l="1"/>
  <c r="F28" i="1" s="1"/>
  <c r="F31" i="1" s="1"/>
  <c r="I15" i="1"/>
  <c r="H15" i="1"/>
  <c r="G17" i="1"/>
  <c r="F17" i="1" s="1"/>
  <c r="B31" i="1" l="1"/>
  <c r="C31" i="1"/>
  <c r="C33" i="1" s="1"/>
  <c r="E33" i="1" s="1"/>
  <c r="C17" i="1"/>
  <c r="F19" i="1"/>
  <c r="B17" i="1"/>
  <c r="B15" i="1"/>
  <c r="B28" i="1" s="1"/>
  <c r="C15" i="1"/>
  <c r="C28" i="1" s="1"/>
  <c r="C19" i="1" l="1"/>
  <c r="B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Jaap</author>
  </authors>
  <commentList>
    <comment ref="E4" authorId="0" shapeId="0" xr:uid="{725A1B06-CE0C-4CEE-91D8-4BDC73562CE7}">
      <text>
        <r>
          <rPr>
            <b/>
            <sz val="9"/>
            <color indexed="81"/>
            <rFont val="Tahoma"/>
            <family val="2"/>
          </rPr>
          <t>Jaap:</t>
        </r>
        <r>
          <rPr>
            <sz val="9"/>
            <color indexed="81"/>
            <rFont val="Tahoma"/>
            <family val="2"/>
          </rPr>
          <t xml:space="preserve">
N of S invullen</t>
        </r>
      </text>
    </comment>
    <comment ref="E5" authorId="0" shapeId="0" xr:uid="{C57C458A-EEDC-4291-AF4B-EC07EFA5B1C7}">
      <text>
        <r>
          <rPr>
            <b/>
            <sz val="9"/>
            <color indexed="81"/>
            <rFont val="Tahoma"/>
            <family val="2"/>
          </rPr>
          <t>Jaap:</t>
        </r>
        <r>
          <rPr>
            <sz val="9"/>
            <color indexed="81"/>
            <rFont val="Tahoma"/>
            <family val="2"/>
          </rPr>
          <t xml:space="preserve">
E of W invullen</t>
        </r>
      </text>
    </comment>
    <comment ref="E9" authorId="0" shapeId="0" xr:uid="{5A89287F-0DF4-4B74-87E2-8946272C4DDD}">
      <text>
        <r>
          <rPr>
            <b/>
            <sz val="9"/>
            <color indexed="81"/>
            <rFont val="Tahoma"/>
            <family val="2"/>
          </rPr>
          <t>Jaap:</t>
        </r>
        <r>
          <rPr>
            <sz val="9"/>
            <color indexed="81"/>
            <rFont val="Tahoma"/>
            <family val="2"/>
          </rPr>
          <t xml:space="preserve">
N of S invullen</t>
        </r>
      </text>
    </comment>
  </commentList>
</comments>
</file>

<file path=xl/sharedStrings.xml><?xml version="1.0" encoding="utf-8"?>
<sst xmlns="http://schemas.openxmlformats.org/spreadsheetml/2006/main" count="40" uniqueCount="36">
  <si>
    <t>DR</t>
  </si>
  <si>
    <t>lat</t>
  </si>
  <si>
    <t>lon</t>
  </si>
  <si>
    <t>E</t>
  </si>
  <si>
    <t>N</t>
  </si>
  <si>
    <t>Sun</t>
  </si>
  <si>
    <t>GHA</t>
  </si>
  <si>
    <t>dec</t>
  </si>
  <si>
    <t>S</t>
  </si>
  <si>
    <t>Hs</t>
  </si>
  <si>
    <t>Ho</t>
  </si>
  <si>
    <t>gr</t>
  </si>
  <si>
    <t>rad</t>
  </si>
  <si>
    <t>sin</t>
  </si>
  <si>
    <t>cos</t>
  </si>
  <si>
    <t>sin(Hc)</t>
  </si>
  <si>
    <t>LHA</t>
  </si>
  <si>
    <t>Hc</t>
  </si>
  <si>
    <t>hele gr</t>
  </si>
  <si>
    <t>min</t>
  </si>
  <si>
    <t>W</t>
  </si>
  <si>
    <t>Zn</t>
  </si>
  <si>
    <t>Z</t>
  </si>
  <si>
    <t>Intercept</t>
  </si>
  <si>
    <t>LoP</t>
  </si>
  <si>
    <t>nm</t>
  </si>
  <si>
    <t>DIP</t>
  </si>
  <si>
    <t>IC</t>
  </si>
  <si>
    <t>refractie</t>
  </si>
  <si>
    <t>maandelijks</t>
  </si>
  <si>
    <t>Bepaling intercept; gele vlakken invullen</t>
  </si>
  <si>
    <t>Ultracompact</t>
  </si>
  <si>
    <t>lat - dec</t>
  </si>
  <si>
    <t>lat + dec</t>
  </si>
  <si>
    <t>hav</t>
  </si>
  <si>
    <t>hav(ZD)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</si>
</sst>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2" fontId="0" fillId="0" borderId="0" xfId="0" applyNumberFormat="1"/>
    <xf numFmtId="0" fontId="0" fillId="2" borderId="0" xfId="0" applyFill="1"/>
    <xf numFmtId="0" fontId="0" fillId="3" borderId="0" xfId="0" applyFill="1"/>
    <xf numFmtId="2" fontId="0" fillId="3" borderId="0" xfId="0" applyNumberFormat="1" applyFill="1"/>
    <xf numFmtId="0" fontId="0" fillId="4" borderId="0" xfId="0" applyFill="1"/>
    <xf numFmtId="2" fontId="0" fillId="4" borderId="0" xfId="0" applyNumberFormat="1" applyFill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23FA1-B28D-42A4-8721-8AB0C53405FC}">
  <dimension ref="A1:N33"/>
  <sheetViews>
    <sheetView tabSelected="1" topLeftCell="I1" workbookViewId="0">
      <selection activeCell="P14" sqref="P14"/>
    </sheetView>
  </sheetViews>
  <sheetFormatPr defaultRowHeight="15" x14ac:dyDescent="0.25"/>
  <cols>
    <col min="1" max="1" width="12" customWidth="1"/>
    <col min="4" max="4" width="3.85546875" customWidth="1"/>
    <col min="6" max="6" width="12" bestFit="1" customWidth="1"/>
    <col min="7" max="7" width="16.7109375" bestFit="1" customWidth="1"/>
    <col min="12" max="12" width="16.140625" customWidth="1"/>
  </cols>
  <sheetData>
    <row r="1" spans="1:14" x14ac:dyDescent="0.25">
      <c r="A1" t="s">
        <v>30</v>
      </c>
      <c r="L1" t="s">
        <v>31</v>
      </c>
    </row>
    <row r="2" spans="1:14" x14ac:dyDescent="0.25">
      <c r="B2" t="s">
        <v>18</v>
      </c>
      <c r="C2" t="s">
        <v>19</v>
      </c>
      <c r="F2" t="s">
        <v>11</v>
      </c>
      <c r="G2" t="s">
        <v>12</v>
      </c>
      <c r="H2" t="s">
        <v>13</v>
      </c>
      <c r="I2" t="s">
        <v>14</v>
      </c>
      <c r="M2" t="s">
        <v>12</v>
      </c>
      <c r="N2" t="s">
        <v>34</v>
      </c>
    </row>
    <row r="3" spans="1:14" x14ac:dyDescent="0.25">
      <c r="A3" t="s">
        <v>0</v>
      </c>
    </row>
    <row r="4" spans="1:14" x14ac:dyDescent="0.25">
      <c r="A4" t="s">
        <v>1</v>
      </c>
      <c r="B4" s="2">
        <v>43</v>
      </c>
      <c r="C4" s="2">
        <v>10.55</v>
      </c>
      <c r="D4">
        <f>IF(E4="N",1,-1)</f>
        <v>1</v>
      </c>
      <c r="E4" s="2" t="s">
        <v>4</v>
      </c>
      <c r="F4">
        <f>(B4+C4/60)*D4</f>
        <v>43.175833333333337</v>
      </c>
      <c r="G4">
        <f>F4/180*PI()</f>
        <v>0.75356044895898511</v>
      </c>
      <c r="H4">
        <f>SIN(G4)</f>
        <v>0.68423957489722198</v>
      </c>
      <c r="I4">
        <f>COS(G4)</f>
        <v>0.72925729625727354</v>
      </c>
      <c r="L4" t="s">
        <v>32</v>
      </c>
      <c r="M4">
        <f>G4-G9</f>
        <v>0.77593556996955237</v>
      </c>
      <c r="N4">
        <f>(1-COS(M4))/2</f>
        <v>0.14311695592953233</v>
      </c>
    </row>
    <row r="5" spans="1:14" x14ac:dyDescent="0.25">
      <c r="A5" t="s">
        <v>2</v>
      </c>
      <c r="B5" s="2">
        <v>16</v>
      </c>
      <c r="C5" s="2">
        <v>17.39</v>
      </c>
      <c r="D5">
        <f>IF(E5="E",1,-1)</f>
        <v>1</v>
      </c>
      <c r="E5" s="2" t="s">
        <v>3</v>
      </c>
      <c r="F5">
        <f>(B5+C5/60)*D5</f>
        <v>16.289833333333334</v>
      </c>
      <c r="G5">
        <f>F5/180*PI()</f>
        <v>0.28431122626778965</v>
      </c>
      <c r="H5">
        <f>SIN(G5)</f>
        <v>0.28049639491755157</v>
      </c>
      <c r="I5">
        <f>COS(G5)</f>
        <v>0.95985507887298116</v>
      </c>
      <c r="L5" t="s">
        <v>33</v>
      </c>
      <c r="M5">
        <f>G4+G9</f>
        <v>0.73118532794841784</v>
      </c>
      <c r="N5">
        <f>(1-COS(M5))/2</f>
        <v>0.12780829008609068</v>
      </c>
    </row>
    <row r="7" spans="1:14" x14ac:dyDescent="0.25">
      <c r="A7" s="2" t="s">
        <v>5</v>
      </c>
    </row>
    <row r="8" spans="1:14" x14ac:dyDescent="0.25">
      <c r="A8" t="s">
        <v>6</v>
      </c>
      <c r="B8" s="2">
        <v>44</v>
      </c>
      <c r="C8" s="2">
        <v>42.6</v>
      </c>
      <c r="D8">
        <v>1</v>
      </c>
      <c r="E8" t="s">
        <v>20</v>
      </c>
      <c r="F8">
        <f>(B8+C8/60)*D8</f>
        <v>44.71</v>
      </c>
      <c r="G8">
        <f>F8/180*PI()</f>
        <v>0.78033670856666471</v>
      </c>
      <c r="H8">
        <f>SIN(G8)</f>
        <v>0.70351875000796538</v>
      </c>
      <c r="I8">
        <f>COS(G8)</f>
        <v>0.71067669751246942</v>
      </c>
    </row>
    <row r="9" spans="1:14" x14ac:dyDescent="0.25">
      <c r="A9" t="s">
        <v>7</v>
      </c>
      <c r="B9" s="2">
        <v>1</v>
      </c>
      <c r="C9" s="2">
        <v>16.920000000000002</v>
      </c>
      <c r="D9">
        <f>IF(E9="N",1,-1)</f>
        <v>-1</v>
      </c>
      <c r="E9" s="2" t="s">
        <v>8</v>
      </c>
      <c r="F9">
        <f>(B9+C9/60)*D9</f>
        <v>-1.282</v>
      </c>
      <c r="G9">
        <f>F9/180*PI()</f>
        <v>-2.2375121010567305E-2</v>
      </c>
      <c r="H9">
        <f>SIN(G9)</f>
        <v>-2.2373254054679825E-2</v>
      </c>
      <c r="I9">
        <f>COS(G9)</f>
        <v>0.99974968742330939</v>
      </c>
    </row>
    <row r="11" spans="1:14" x14ac:dyDescent="0.25">
      <c r="A11" t="s">
        <v>16</v>
      </c>
      <c r="F11">
        <f>G11/PI()*180</f>
        <v>60.999833333333335</v>
      </c>
      <c r="G11">
        <f>G5+G8</f>
        <v>1.0646479348344544</v>
      </c>
      <c r="H11">
        <f>SIN(G11)</f>
        <v>0.87461829688167569</v>
      </c>
      <c r="I11">
        <f>COS(G11)</f>
        <v>0.48481216440988462</v>
      </c>
      <c r="L11" t="s">
        <v>16</v>
      </c>
      <c r="M11">
        <f>G5+G8</f>
        <v>1.0646479348344544</v>
      </c>
      <c r="N11">
        <f>(1-COS(M11))/2</f>
        <v>0.25759391779505769</v>
      </c>
    </row>
    <row r="14" spans="1:14" x14ac:dyDescent="0.25">
      <c r="A14" t="s">
        <v>15</v>
      </c>
      <c r="H14">
        <f>H4*H9+I4*I9*I11</f>
        <v>0.33815564365232825</v>
      </c>
      <c r="L14" t="s">
        <v>35</v>
      </c>
      <c r="N14">
        <f>N4+(1-N4-N5)*N11</f>
        <v>0.33092217817383585</v>
      </c>
    </row>
    <row r="15" spans="1:14" x14ac:dyDescent="0.25">
      <c r="A15" t="s">
        <v>17</v>
      </c>
      <c r="B15" s="3">
        <f>INT(F15)</f>
        <v>19</v>
      </c>
      <c r="C15" s="4">
        <f>(F15-INT(F15))*60</f>
        <v>45.872741451915928</v>
      </c>
      <c r="F15">
        <f>G15/PI()*180</f>
        <v>19.764545690865265</v>
      </c>
      <c r="G15">
        <f>ASIN(H14)</f>
        <v>0.34495639746645623</v>
      </c>
      <c r="H15">
        <f>SIN(G15)</f>
        <v>0.33815564365232825</v>
      </c>
      <c r="I15">
        <f>COS(G15)</f>
        <v>0.94109019794389503</v>
      </c>
      <c r="L15" t="s">
        <v>17</v>
      </c>
      <c r="M15">
        <f>(PI()/2-ACOS(1-2*N14))/PI()*180</f>
        <v>19.764545690865265</v>
      </c>
    </row>
    <row r="17" spans="1:9" x14ac:dyDescent="0.25">
      <c r="A17" t="s">
        <v>21</v>
      </c>
      <c r="B17" s="5">
        <f>INT(F17)</f>
        <v>111</v>
      </c>
      <c r="C17" s="6">
        <f>(F17-INT(F17))*60</f>
        <v>41.982085634243163</v>
      </c>
      <c r="F17">
        <f>G17/PI()*180</f>
        <v>111.69970142723739</v>
      </c>
      <c r="G17" s="1">
        <f>ACOS((H9-H14*H4)/(I15*I4))</f>
        <v>1.9495275633999016</v>
      </c>
    </row>
    <row r="19" spans="1:9" x14ac:dyDescent="0.25">
      <c r="A19" t="s">
        <v>22</v>
      </c>
      <c r="B19" s="3">
        <f>INT(F19)</f>
        <v>248</v>
      </c>
      <c r="C19" s="4">
        <f>(F19-INT(F19))*60</f>
        <v>18.017914365756837</v>
      </c>
      <c r="F19">
        <f>360-F17</f>
        <v>248.30029857276261</v>
      </c>
    </row>
    <row r="21" spans="1:9" x14ac:dyDescent="0.25">
      <c r="A21" t="s">
        <v>9</v>
      </c>
      <c r="B21" s="2">
        <v>19</v>
      </c>
      <c r="C21" s="2">
        <v>56.3</v>
      </c>
    </row>
    <row r="22" spans="1:9" x14ac:dyDescent="0.25">
      <c r="A22" t="s">
        <v>27</v>
      </c>
      <c r="B22">
        <v>0</v>
      </c>
      <c r="C22" s="2">
        <v>0</v>
      </c>
    </row>
    <row r="23" spans="1:9" x14ac:dyDescent="0.25">
      <c r="A23" t="s">
        <v>26</v>
      </c>
      <c r="B23">
        <v>0</v>
      </c>
      <c r="C23" s="2">
        <v>11.2</v>
      </c>
    </row>
    <row r="24" spans="1:9" x14ac:dyDescent="0.25">
      <c r="A24" t="s">
        <v>28</v>
      </c>
      <c r="B24">
        <v>0</v>
      </c>
      <c r="C24" s="2">
        <v>0</v>
      </c>
    </row>
    <row r="25" spans="1:9" x14ac:dyDescent="0.25">
      <c r="A25" t="s">
        <v>29</v>
      </c>
      <c r="B25">
        <v>0</v>
      </c>
      <c r="C25" s="2">
        <v>-0.11</v>
      </c>
    </row>
    <row r="26" spans="1:9" x14ac:dyDescent="0.25">
      <c r="A26" t="s">
        <v>10</v>
      </c>
      <c r="B26" s="3">
        <f>IF(SUM(C21:C25)&gt;=60,SUM(B21:B25)+1,SUM(B21:B25))</f>
        <v>20</v>
      </c>
      <c r="C26" s="3">
        <f>IF(SUM(C21:C25)&gt;=60,SUM(C21:C25)-60,SUM(C21:C25))</f>
        <v>7.3900000000000006</v>
      </c>
      <c r="D26">
        <v>1</v>
      </c>
      <c r="F26">
        <f>(B26+C26/60)*D26</f>
        <v>20.123166666666666</v>
      </c>
      <c r="G26">
        <f>F26/180*PI()</f>
        <v>0.35121551426090558</v>
      </c>
      <c r="H26">
        <f>SIN(G26)</f>
        <v>0.34403937479163044</v>
      </c>
      <c r="I26">
        <f>COS(G26)</f>
        <v>0.93895522182529245</v>
      </c>
    </row>
    <row r="28" spans="1:9" x14ac:dyDescent="0.25">
      <c r="A28" t="s">
        <v>17</v>
      </c>
      <c r="B28" s="3">
        <f>B15</f>
        <v>19</v>
      </c>
      <c r="C28" s="4">
        <f>C15</f>
        <v>45.872741451915928</v>
      </c>
      <c r="F28">
        <f>F15</f>
        <v>19.764545690865265</v>
      </c>
    </row>
    <row r="31" spans="1:9" x14ac:dyDescent="0.25">
      <c r="A31" t="s">
        <v>23</v>
      </c>
      <c r="B31" s="3">
        <f>INT(F31)</f>
        <v>0</v>
      </c>
      <c r="C31" s="4">
        <f>(F31-INT(F31))*60</f>
        <v>21.517258548084044</v>
      </c>
      <c r="F31">
        <f>F26-F28</f>
        <v>0.35862097580140073</v>
      </c>
    </row>
    <row r="33" spans="1:5" x14ac:dyDescent="0.25">
      <c r="A33" t="s">
        <v>24</v>
      </c>
      <c r="C33" s="1">
        <f>C31</f>
        <v>21.517258548084044</v>
      </c>
      <c r="D33" t="s">
        <v>25</v>
      </c>
      <c r="E33" t="str">
        <f>IF(C33&gt;0,"towards","away")</f>
        <v>towards</v>
      </c>
    </row>
  </sheetData>
  <pageMargins left="0.7" right="0.7" top="0.75" bottom="0.75" header="0.3" footer="0.3"/>
  <pageSetup paperSize="9"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Jaap</dc:creator>
  <cp:lastModifiedBy>Jaap</cp:lastModifiedBy>
  <dcterms:created xsi:type="dcterms:W3CDTF">2019-10-07T18:19:36Z</dcterms:created>
  <dcterms:modified xsi:type="dcterms:W3CDTF">2019-10-09T08:56:34Z</dcterms:modified>
</cp:coreProperties>
</file>