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erc\Documents\Bootdocumenten\"/>
    </mc:Choice>
  </mc:AlternateContent>
  <bookViews>
    <workbookView xWindow="240" yWindow="48" windowWidth="11352" windowHeight="8448" activeTab="1"/>
  </bookViews>
  <sheets>
    <sheet name="volglas polyester" sheetId="1" r:id="rId1"/>
    <sheet name="help" sheetId="3" r:id="rId2"/>
  </sheets>
  <calcPr calcId="171027"/>
</workbook>
</file>

<file path=xl/calcChain.xml><?xml version="1.0" encoding="utf-8"?>
<calcChain xmlns="http://schemas.openxmlformats.org/spreadsheetml/2006/main">
  <c r="B277" i="1" l="1"/>
  <c r="G277" i="1" s="1"/>
  <c r="C310" i="1"/>
  <c r="C320" i="1"/>
  <c r="C284" i="1"/>
  <c r="C316" i="1" s="1"/>
  <c r="C297" i="1"/>
  <c r="C318" i="1"/>
  <c r="C278" i="1"/>
  <c r="C315" i="1" s="1"/>
  <c r="C291" i="1"/>
  <c r="C317" i="1"/>
  <c r="C303" i="1"/>
  <c r="C319" i="1" s="1"/>
  <c r="I184" i="1"/>
  <c r="F207" i="1" s="1"/>
  <c r="B290" i="1" s="1"/>
  <c r="G290" i="1" s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B53" i="1"/>
  <c r="B15" i="1"/>
  <c r="B58" i="1"/>
  <c r="B59" i="1" s="1"/>
  <c r="B55" i="1"/>
  <c r="B205" i="1"/>
  <c r="C206" i="1"/>
  <c r="B289" i="1" s="1"/>
  <c r="G289" i="1" s="1"/>
  <c r="G126" i="1"/>
  <c r="G127" i="1"/>
  <c r="G128" i="1"/>
  <c r="G129" i="1"/>
  <c r="F173" i="1" s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B16" i="1"/>
  <c r="B19" i="1"/>
  <c r="B22" i="1" s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26" i="1"/>
  <c r="F174" i="1" s="1"/>
  <c r="I127" i="1"/>
  <c r="I128" i="1"/>
  <c r="I129" i="1"/>
  <c r="I130" i="1"/>
  <c r="I149" i="1"/>
  <c r="I150" i="1"/>
  <c r="I151" i="1"/>
  <c r="I152" i="1"/>
  <c r="I153" i="1"/>
  <c r="I154" i="1"/>
  <c r="I155" i="1"/>
  <c r="B243" i="1"/>
  <c r="B29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16" i="1"/>
  <c r="B63" i="1"/>
  <c r="G233" i="1"/>
  <c r="H250" i="1"/>
  <c r="H251" i="1"/>
  <c r="B264" i="1" s="1"/>
  <c r="H252" i="1"/>
  <c r="H253" i="1"/>
  <c r="H254" i="1"/>
  <c r="H255" i="1"/>
  <c r="H256" i="1"/>
  <c r="H257" i="1"/>
  <c r="H258" i="1"/>
  <c r="H259" i="1"/>
  <c r="B84" i="1"/>
  <c r="B17" i="1"/>
  <c r="B82" i="1"/>
  <c r="B83" i="1"/>
  <c r="B86" i="1" s="1"/>
  <c r="B263" i="1"/>
  <c r="E250" i="1"/>
  <c r="E251" i="1"/>
  <c r="E252" i="1"/>
  <c r="E253" i="1"/>
  <c r="E254" i="1"/>
  <c r="E255" i="1"/>
  <c r="E256" i="1"/>
  <c r="E257" i="1"/>
  <c r="E258" i="1"/>
  <c r="E259" i="1"/>
  <c r="E265" i="1"/>
  <c r="I216" i="1"/>
  <c r="I217" i="1"/>
  <c r="F234" i="1" s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B28" i="1"/>
  <c r="B276" i="1" s="1"/>
  <c r="G276" i="1" s="1"/>
  <c r="B95" i="1"/>
  <c r="B64" i="1"/>
  <c r="B271" i="1" l="1"/>
  <c r="G271" i="1" s="1"/>
  <c r="B25" i="1"/>
  <c r="B94" i="1"/>
  <c r="B24" i="1"/>
  <c r="B273" i="1" s="1"/>
  <c r="G273" i="1" s="1"/>
  <c r="B23" i="1"/>
  <c r="B272" i="1" s="1"/>
  <c r="G272" i="1" s="1"/>
  <c r="C322" i="1"/>
  <c r="B39" i="1"/>
  <c r="B76" i="1"/>
  <c r="B88" i="1"/>
  <c r="B307" i="1" s="1"/>
  <c r="G307" i="1" s="1"/>
  <c r="B65" i="1"/>
  <c r="B54" i="1"/>
  <c r="B57" i="1" s="1"/>
  <c r="B288" i="1" s="1"/>
  <c r="G288" i="1" s="1"/>
  <c r="B291" i="1" s="1"/>
  <c r="B317" i="1" s="1"/>
  <c r="G317" i="1" s="1"/>
  <c r="B35" i="1"/>
  <c r="B38" i="1" s="1"/>
  <c r="B33" i="1"/>
  <c r="B36" i="1" s="1"/>
  <c r="B27" i="1"/>
  <c r="B275" i="1" s="1"/>
  <c r="G275" i="1" s="1"/>
  <c r="B34" i="1"/>
  <c r="B37" i="1" s="1"/>
  <c r="B62" i="1"/>
  <c r="B67" i="1"/>
  <c r="B41" i="1"/>
  <c r="B44" i="1" s="1"/>
  <c r="B50" i="1" s="1"/>
  <c r="B283" i="1" s="1"/>
  <c r="G283" i="1" s="1"/>
  <c r="B78" i="1" l="1"/>
  <c r="B302" i="1" s="1"/>
  <c r="G302" i="1" s="1"/>
  <c r="B77" i="1"/>
  <c r="B79" i="1" s="1"/>
  <c r="B301" i="1" s="1"/>
  <c r="G301" i="1" s="1"/>
  <c r="B303" i="1" s="1"/>
  <c r="B319" i="1" s="1"/>
  <c r="G319" i="1" s="1"/>
  <c r="B46" i="1"/>
  <c r="B49" i="1" s="1"/>
  <c r="B282" i="1" s="1"/>
  <c r="G282" i="1" s="1"/>
  <c r="B284" i="1" s="1"/>
  <c r="B316" i="1" s="1"/>
  <c r="G316" i="1" s="1"/>
  <c r="B40" i="1"/>
  <c r="B43" i="1" s="1"/>
  <c r="B47" i="1" s="1"/>
  <c r="B42" i="1"/>
  <c r="B26" i="1"/>
  <c r="B274" i="1"/>
  <c r="G274" i="1" s="1"/>
  <c r="B278" i="1" s="1"/>
  <c r="B315" i="1" s="1"/>
  <c r="G315" i="1" s="1"/>
  <c r="B69" i="1"/>
  <c r="B68" i="1"/>
  <c r="B73" i="1" s="1"/>
  <c r="B296" i="1" s="1"/>
  <c r="G296" i="1" s="1"/>
  <c r="B66" i="1"/>
  <c r="B70" i="1" s="1"/>
  <c r="B85" i="1"/>
  <c r="B72" i="1" l="1"/>
  <c r="B295" i="1" s="1"/>
  <c r="G295" i="1" s="1"/>
  <c r="B297" i="1" s="1"/>
  <c r="B318" i="1" s="1"/>
  <c r="G318" i="1" s="1"/>
  <c r="G322" i="1" s="1"/>
  <c r="B90" i="1"/>
  <c r="B309" i="1" s="1"/>
  <c r="G309" i="1" s="1"/>
  <c r="B89" i="1"/>
  <c r="B308" i="1" s="1"/>
  <c r="G308" i="1" s="1"/>
  <c r="B310" i="1" s="1"/>
  <c r="B320" i="1" s="1"/>
  <c r="G320" i="1" s="1"/>
  <c r="B322" i="1" l="1"/>
</calcChain>
</file>

<file path=xl/sharedStrings.xml><?xml version="1.0" encoding="utf-8"?>
<sst xmlns="http://schemas.openxmlformats.org/spreadsheetml/2006/main" count="660" uniqueCount="401">
  <si>
    <t>mm</t>
  </si>
  <si>
    <t>minimum aantal</t>
  </si>
  <si>
    <t>minimum dikte hechthout</t>
  </si>
  <si>
    <t>wrang-breedte (voor-achter)</t>
  </si>
  <si>
    <t>wrang-hoogte boven vlak</t>
  </si>
  <si>
    <t>laminaat-dikte van wrang</t>
  </si>
  <si>
    <t>minimale lengte van wrangen SB-BB</t>
  </si>
  <si>
    <t>lengte romp zonder uitsteeksels</t>
  </si>
  <si>
    <t>grootste breedte op dek</t>
  </si>
  <si>
    <t>grootste breedte op waterlijn</t>
  </si>
  <si>
    <t>meter</t>
  </si>
  <si>
    <t>mm boven waterlijn</t>
  </si>
  <si>
    <t>Bout diameter</t>
  </si>
  <si>
    <t>flens breedte (dek-romp overlap)</t>
  </si>
  <si>
    <t>grootste diepgang</t>
  </si>
  <si>
    <t>ballastgewicht</t>
  </si>
  <si>
    <t>vrijboord hoogte midscheeps</t>
  </si>
  <si>
    <t>rompdiepte (zonder kiel) onder water</t>
  </si>
  <si>
    <t>kg</t>
  </si>
  <si>
    <t>kgm</t>
  </si>
  <si>
    <t>berekende rompdiepte</t>
  </si>
  <si>
    <t>berekende gemiddelde breedte voor SN</t>
  </si>
  <si>
    <t>berekende kiel-hoogte</t>
  </si>
  <si>
    <t>aantal kielbouten Stuurboord</t>
  </si>
  <si>
    <t>NB bouten in het midden NIET meetellen!</t>
  </si>
  <si>
    <t>afstand tussen SB en BB kielbouten in mm</t>
  </si>
  <si>
    <t>belasting per kielbout</t>
  </si>
  <si>
    <t>vereiste boutdiameter in RVS</t>
  </si>
  <si>
    <t>volgplaten onder kielmoeren breedte</t>
  </si>
  <si>
    <t>volgplaten lengte voor-achter</t>
  </si>
  <si>
    <t>volgplaten dikte</t>
  </si>
  <si>
    <t>dikte vrijboord halve hoogte</t>
  </si>
  <si>
    <t>bodem van de romp</t>
  </si>
  <si>
    <t>bovenkant vrijboord</t>
  </si>
  <si>
    <t>bodemgebied laminaat moet beginnen</t>
  </si>
  <si>
    <t>kiel gebied</t>
  </si>
  <si>
    <t>kiel en steven</t>
  </si>
  <si>
    <t>maximale tussenruimte hart op hart</t>
  </si>
  <si>
    <t>laminaat breedte overlap op romp</t>
  </si>
  <si>
    <t xml:space="preserve">bouten onderlinge afstand </t>
  </si>
  <si>
    <t>engine bed stringer laminaat dikte</t>
  </si>
  <si>
    <t>kiel en steven over een breedte van</t>
  </si>
  <si>
    <t>laminaat breedte van mat op romp</t>
  </si>
  <si>
    <t>laminaat dikte overige stringers</t>
  </si>
  <si>
    <t>bij bevestiging aan het vrijboord!!!</t>
  </si>
  <si>
    <t>laminaatdikte vrijboord:</t>
  </si>
  <si>
    <t>voor-achter lengte van dit gebied:</t>
  </si>
  <si>
    <t>onderkant van dit gebied</t>
  </si>
  <si>
    <t>bovenkant van dit gebied</t>
  </si>
  <si>
    <t>dekhoogte</t>
  </si>
  <si>
    <t>20 maal de boutdiameter onder de onderste bout, dus al gauw 20cm</t>
  </si>
  <si>
    <t>liter</t>
  </si>
  <si>
    <t>mm2</t>
  </si>
  <si>
    <t>Scantling Number =</t>
  </si>
  <si>
    <t>totaal aantal nodig over de volle scheepslengte</t>
  </si>
  <si>
    <t>laminaat breedte van mat op romp, 2 zijden</t>
  </si>
  <si>
    <t>totale dikte schotten</t>
  </si>
  <si>
    <t>laminaat breedte aan beide zijden</t>
  </si>
  <si>
    <t>totale laminaatoppervlakte schotten/huid</t>
  </si>
  <si>
    <t>m2</t>
  </si>
  <si>
    <t>totale laminaatoppervlakte stringers</t>
  </si>
  <si>
    <t>totale laminaatoppervlakte wrangen</t>
  </si>
  <si>
    <t>Berekende Laminaat Diktes</t>
  </si>
  <si>
    <t>Berekende Lengte- stringers</t>
  </si>
  <si>
    <t>Berekende Schotten</t>
  </si>
  <si>
    <t>Berekende Wrangen</t>
  </si>
  <si>
    <t>Berekende Romp-dek verbinding</t>
  </si>
  <si>
    <t>Berekende Kielbouten</t>
  </si>
  <si>
    <t xml:space="preserve"> ======================================================================================</t>
  </si>
  <si>
    <t>totaal bout-doorsnede</t>
  </si>
  <si>
    <t xml:space="preserve">bodemgebied laminaat begint </t>
  </si>
  <si>
    <t>kiel en steven dikte</t>
  </si>
  <si>
    <t>Metingen lengte-stringers</t>
  </si>
  <si>
    <t>Metingen schotten</t>
  </si>
  <si>
    <t>lengte</t>
  </si>
  <si>
    <t>breedte</t>
  </si>
  <si>
    <t>hoogte</t>
  </si>
  <si>
    <t>Metingen of schattingen  laminaatdikte</t>
  </si>
  <si>
    <t>totale lengte schot/huid en dek contact</t>
  </si>
  <si>
    <t>schot 1</t>
  </si>
  <si>
    <t>schot 2</t>
  </si>
  <si>
    <t>schot 3</t>
  </si>
  <si>
    <t>schot 4</t>
  </si>
  <si>
    <t>schot 5</t>
  </si>
  <si>
    <t>schot 6</t>
  </si>
  <si>
    <t>schot 7</t>
  </si>
  <si>
    <t>schot 8</t>
  </si>
  <si>
    <t>schot 9</t>
  </si>
  <si>
    <t>schot 10</t>
  </si>
  <si>
    <t>schot 11</t>
  </si>
  <si>
    <t>schot 12</t>
  </si>
  <si>
    <t>schot 13</t>
  </si>
  <si>
    <t>schot 14</t>
  </si>
  <si>
    <t>schot 15</t>
  </si>
  <si>
    <t>dikte</t>
  </si>
  <si>
    <t>lente schot</t>
  </si>
  <si>
    <t xml:space="preserve">huid/dek </t>
  </si>
  <si>
    <t xml:space="preserve">laminaat </t>
  </si>
  <si>
    <t>totale lengte schot/huid/dek contact</t>
  </si>
  <si>
    <t>totale gelamineerde oppervlakte</t>
  </si>
  <si>
    <t>Metingen wrangen</t>
  </si>
  <si>
    <t>voor/achter</t>
  </si>
  <si>
    <t>hoogste</t>
  </si>
  <si>
    <t>wrang 1</t>
  </si>
  <si>
    <t>wrang 2</t>
  </si>
  <si>
    <t>wrang 3</t>
  </si>
  <si>
    <t>wrang 4</t>
  </si>
  <si>
    <t>wrang 5</t>
  </si>
  <si>
    <t>wrang 6</t>
  </si>
  <si>
    <t>wrang 7</t>
  </si>
  <si>
    <t>wrang 8</t>
  </si>
  <si>
    <t>wrang 9</t>
  </si>
  <si>
    <t>wrang 10</t>
  </si>
  <si>
    <t>wrang 11</t>
  </si>
  <si>
    <t>wrang 12</t>
  </si>
  <si>
    <t>wrang 13</t>
  </si>
  <si>
    <t>wrang 14</t>
  </si>
  <si>
    <t>wrang 15</t>
  </si>
  <si>
    <t>wrang 16</t>
  </si>
  <si>
    <t>totaal gelamineerd oppervlak wrangen</t>
  </si>
  <si>
    <t>Metingen romp-dek verbinding</t>
  </si>
  <si>
    <t>aantal bouten</t>
  </si>
  <si>
    <t>totale oppervlakte bouten</t>
  </si>
  <si>
    <t>diameter bout</t>
  </si>
  <si>
    <t>Metingen kielverbinding</t>
  </si>
  <si>
    <t>diameter kielbouten</t>
  </si>
  <si>
    <t>volgplaat 1</t>
  </si>
  <si>
    <t>volgplaat 2</t>
  </si>
  <si>
    <t>volgplaat 3</t>
  </si>
  <si>
    <t>volgplaat 4</t>
  </si>
  <si>
    <t>volgplaat 5</t>
  </si>
  <si>
    <t>volgplaat 6</t>
  </si>
  <si>
    <t>volgplaat 7</t>
  </si>
  <si>
    <t>volgplaat 8</t>
  </si>
  <si>
    <t>volgplaat 9</t>
  </si>
  <si>
    <t>volgplaat 10</t>
  </si>
  <si>
    <t xml:space="preserve">volume </t>
  </si>
  <si>
    <t>totale diameter kielbouten</t>
  </si>
  <si>
    <t>totale volume volgplaten</t>
  </si>
  <si>
    <t>LAMINAATDIKTE</t>
  </si>
  <si>
    <t>STRINGERS</t>
  </si>
  <si>
    <t>wegingsfactor</t>
  </si>
  <si>
    <t>TOTAAL LAMINAAT</t>
  </si>
  <si>
    <t>SCHOTTEN</t>
  </si>
  <si>
    <t>totaal laminaat oppervlak</t>
  </si>
  <si>
    <t>TOTAAL STRINGERS</t>
  </si>
  <si>
    <t>TOTAAL SCHOTTEN</t>
  </si>
  <si>
    <t>WRANGEN</t>
  </si>
  <si>
    <t>TOTAAL WRANGEN</t>
  </si>
  <si>
    <t>ROMP-DEK VERBINDING</t>
  </si>
  <si>
    <t>TOTAAL ROMP-DEK</t>
  </si>
  <si>
    <t>KIELVERBINDING</t>
  </si>
  <si>
    <t>TOTAAL KIELVERBINDING</t>
  </si>
  <si>
    <t>TOTAALBEOORDELING</t>
  </si>
  <si>
    <t>Laminaat</t>
  </si>
  <si>
    <t>Stringers</t>
  </si>
  <si>
    <t>Schotten</t>
  </si>
  <si>
    <t>Wrangen</t>
  </si>
  <si>
    <t>Romp-Dek</t>
  </si>
  <si>
    <t>Kiel</t>
  </si>
  <si>
    <t>Gemiddelde oordeel</t>
  </si>
  <si>
    <t>weging</t>
  </si>
  <si>
    <t xml:space="preserve">Spirit36S Capolavoro </t>
  </si>
  <si>
    <t>totaal volgplaat-volume</t>
  </si>
  <si>
    <t>schot voor in punt</t>
  </si>
  <si>
    <t>onder bed voorin</t>
  </si>
  <si>
    <t>onder voorschot</t>
  </si>
  <si>
    <t>onder hoofschot</t>
  </si>
  <si>
    <t>voorkant kiel</t>
  </si>
  <si>
    <t>mast</t>
  </si>
  <si>
    <t>bij 3e kielbouten</t>
  </si>
  <si>
    <t>midden kajuit</t>
  </si>
  <si>
    <t>bij schot kaartentafel/keuken</t>
  </si>
  <si>
    <t>voorschot toiletruimte</t>
  </si>
  <si>
    <t>wand toiletkast/natgoedkast</t>
  </si>
  <si>
    <t>hoofdschot voor mast</t>
  </si>
  <si>
    <t>bij chainplates</t>
  </si>
  <si>
    <t>bank onder chainplates</t>
  </si>
  <si>
    <t>kastwandjes midden banken</t>
  </si>
  <si>
    <t>bij kaartentafel/keuken op wrang 8</t>
  </si>
  <si>
    <t>voor en achter fornuis</t>
  </si>
  <si>
    <t>onder kaartentafel</t>
  </si>
  <si>
    <t>zitje kaartentafel</t>
  </si>
  <si>
    <t>schot achterkajuiten</t>
  </si>
  <si>
    <t>hoofdeind bed achterin</t>
  </si>
  <si>
    <t>midden onder bedden achterin</t>
  </si>
  <si>
    <t>schot 16</t>
  </si>
  <si>
    <t>voeteind bedden achterin hoog en laag</t>
  </si>
  <si>
    <t>bodem ankerbak</t>
  </si>
  <si>
    <t>bedbodem</t>
  </si>
  <si>
    <t>kastbodems</t>
  </si>
  <si>
    <t xml:space="preserve"> 2 staande kanten onder bed voorin</t>
  </si>
  <si>
    <t>middenstringer op vlak voor de kiel</t>
  </si>
  <si>
    <t>kastbodems sb en bb kajuit</t>
  </si>
  <si>
    <t>horizontaal achter banken</t>
  </si>
  <si>
    <t>rugleuning banken</t>
  </si>
  <si>
    <t>onder-voorkant banken (op wrangen)</t>
  </si>
  <si>
    <t>kast kaartentafel</t>
  </si>
  <si>
    <t>zitje kaartentafel en kast achterkajuit</t>
  </si>
  <si>
    <t>kasten keuken</t>
  </si>
  <si>
    <t>voorkant keuken op vlak</t>
  </si>
  <si>
    <t xml:space="preserve"> 2 kastplanken achterkajuiten</t>
  </si>
  <si>
    <t xml:space="preserve"> 2 bodems bakskisten</t>
  </si>
  <si>
    <t xml:space="preserve"> 2 bedbodems</t>
  </si>
  <si>
    <t>onder bed sb naast dieseltank</t>
  </si>
  <si>
    <t>midden achter motor</t>
  </si>
  <si>
    <t xml:space="preserve"> 2 tegen spiegel</t>
  </si>
  <si>
    <t>onder kuipvloer</t>
  </si>
  <si>
    <t>wand bank voor de mast</t>
  </si>
  <si>
    <t xml:space="preserve"> 2 motorbed</t>
  </si>
  <si>
    <t>totaal volgplaat-oppervlak</t>
  </si>
  <si>
    <t>totaal oppervlak volgplaten</t>
  </si>
  <si>
    <t>in toiletruimte</t>
  </si>
  <si>
    <t>bij achterste kielbouten</t>
  </si>
  <si>
    <t>totaal sterkte van de stringers</t>
  </si>
  <si>
    <t>engine-bed stringers hoogte schuim</t>
  </si>
  <si>
    <t>engine-bed stringers breedte schuim</t>
  </si>
  <si>
    <t>overige stringers breedte schuim</t>
  </si>
  <si>
    <t>overige stringers hoogte schuim</t>
  </si>
  <si>
    <t>totale hoogte engine bed stringers</t>
  </si>
  <si>
    <t>totale breedte engine bed stringers</t>
  </si>
  <si>
    <t>totale breedte overige 8</t>
  </si>
  <si>
    <t>totale hoogte overige 8</t>
  </si>
  <si>
    <t>stijfheid engine bed stringers</t>
  </si>
  <si>
    <t>stijfheid overige stringers</t>
  </si>
  <si>
    <t>totaal stijfheid  stringers</t>
  </si>
  <si>
    <t>op basis van (h^3*b/12)/0,5h maal aantal en lengte</t>
  </si>
  <si>
    <t>en minus de sterkte van de ontbrekende (holle) binnenkant</t>
  </si>
  <si>
    <t>totaal stijfheid wrangen</t>
  </si>
  <si>
    <t>totale wrang-hoogte incl laminaat</t>
  </si>
  <si>
    <t>totale wrang-breedte incl laminaat</t>
  </si>
  <si>
    <t>totaal sterkte</t>
  </si>
  <si>
    <t xml:space="preserve">minimum aantal </t>
  </si>
  <si>
    <t>lengte van</t>
  </si>
  <si>
    <t>laminaat</t>
  </si>
  <si>
    <t>massieve stringer 1</t>
  </si>
  <si>
    <t>massieve stringer 2</t>
  </si>
  <si>
    <t>massieve stringer 3</t>
  </si>
  <si>
    <t>massieve stringer 4</t>
  </si>
  <si>
    <t>massieve stringer 5</t>
  </si>
  <si>
    <t>massieve stringer 6</t>
  </si>
  <si>
    <t>massieve stringer 7</t>
  </si>
  <si>
    <t>massieve stringer 8</t>
  </si>
  <si>
    <t>massieve stringer 9</t>
  </si>
  <si>
    <t>massieve stringer 10</t>
  </si>
  <si>
    <t>massieve stringer 11</t>
  </si>
  <si>
    <t>massieve stringer 12</t>
  </si>
  <si>
    <t>massieve stringer 13</t>
  </si>
  <si>
    <t>massieve stringer 14</t>
  </si>
  <si>
    <t>massieve stringer 15</t>
  </si>
  <si>
    <t>massieve stringer 16</t>
  </si>
  <si>
    <t>massieve stringer 17</t>
  </si>
  <si>
    <t>massieve stringer 18</t>
  </si>
  <si>
    <t>massieve stringer 19</t>
  </si>
  <si>
    <t>massieve stringer 20</t>
  </si>
  <si>
    <t>massieve stringer 21</t>
  </si>
  <si>
    <t>massieve stringer 22</t>
  </si>
  <si>
    <t>massieve stringer 23</t>
  </si>
  <si>
    <t>massieve stringer 24</t>
  </si>
  <si>
    <t>massieve stringer 25</t>
  </si>
  <si>
    <t>massieve stringer 26</t>
  </si>
  <si>
    <t>massieve stringer 27</t>
  </si>
  <si>
    <t>massieve stringer 28</t>
  </si>
  <si>
    <t>massieve stringer 29</t>
  </si>
  <si>
    <t>massieve stringer 30</t>
  </si>
  <si>
    <t>berekende</t>
  </si>
  <si>
    <t>modulus</t>
  </si>
  <si>
    <t>breedte overlappende flens romp-dek</t>
  </si>
  <si>
    <t>holle/sandwich stringer 1</t>
  </si>
  <si>
    <t>holle/sandwich stringer 2</t>
  </si>
  <si>
    <t>holle/sandwich stringer 3</t>
  </si>
  <si>
    <t>holle/sandwich stringer 4</t>
  </si>
  <si>
    <t>holle/sandwich stringer 5</t>
  </si>
  <si>
    <t>holle/sandwich stringer 6</t>
  </si>
  <si>
    <t>holle/sandwich stringer 7</t>
  </si>
  <si>
    <t>holle/sandwich stringer 8</t>
  </si>
  <si>
    <t>holle/sandwich stringer 9</t>
  </si>
  <si>
    <t>holle/sandwich stringer 10</t>
  </si>
  <si>
    <t>SB-BB</t>
  </si>
  <si>
    <t>som van</t>
  </si>
  <si>
    <t>2 zijden</t>
  </si>
  <si>
    <t xml:space="preserve">som </t>
  </si>
  <si>
    <t>contact</t>
  </si>
  <si>
    <t>schot</t>
  </si>
  <si>
    <t xml:space="preserve"> lengte</t>
  </si>
  <si>
    <t xml:space="preserve">op </t>
  </si>
  <si>
    <t>kol 1</t>
  </si>
  <si>
    <t>kol 2</t>
  </si>
  <si>
    <t>kol 3</t>
  </si>
  <si>
    <t>kol 5</t>
  </si>
  <si>
    <t>kol4</t>
  </si>
  <si>
    <t>TOT ZOVER DE BEREKENINGEN voor de eisen aan de constructie OP BASIS VAN SCANTLING NUMBER</t>
  </si>
  <si>
    <t>HIERONDER VOLGEN INVULVELDEN VOOR ALLE METINGEN AAN JE SCHIP</t>
  </si>
  <si>
    <t>ALLE GELE VELDEN ZIJN INVULVELDEN</t>
  </si>
  <si>
    <t>Kol 1</t>
  </si>
  <si>
    <t>aantal</t>
  </si>
  <si>
    <t>berekend</t>
  </si>
  <si>
    <t>SCORES tov NORM, wegingsfactoren zelf in te vullen……</t>
  </si>
  <si>
    <t>schot 17</t>
  </si>
  <si>
    <t>schot 18</t>
  </si>
  <si>
    <t>schot 19</t>
  </si>
  <si>
    <t>schot 20</t>
  </si>
  <si>
    <t>Uitgangspunt: geen sandwich</t>
  </si>
  <si>
    <t>Deze versie is gemaakt voor polyester schepen in volglas, geen sandwich huid (dek maakt niet uit)</t>
  </si>
  <si>
    <t>Overigens is het verschil met sandwich erg klein, dus gewoon proberen ;-)</t>
  </si>
  <si>
    <t>Invulvelden zijn allemaal GEEL</t>
  </si>
  <si>
    <t>Op regel 4 t/m 12 moet worden ingevuld:</t>
  </si>
  <si>
    <t>lengte romp zonder uitsteeksels in mm,mm (meters en decimalen)</t>
  </si>
  <si>
    <t>grootste breedte op dek idem</t>
  </si>
  <si>
    <t>grootste breedte op waterlijn idem</t>
  </si>
  <si>
    <t>vrijboord hoogte midscheeps idem</t>
  </si>
  <si>
    <t>rompdiepte (zonder kiel) onder water, dus de diepste onderkant van het vlak, idem</t>
  </si>
  <si>
    <t>grootste diepgang idem</t>
  </si>
  <si>
    <t>ballastgewicht in kg</t>
  </si>
  <si>
    <t>aantal kielbouten Stuurboord, dus maar 1 van de rijen. Bouten in het midden NIET meetellen!</t>
  </si>
  <si>
    <t>afstand tussen SB en BB kielbouten, in mm</t>
  </si>
  <si>
    <t xml:space="preserve">Op basis van deze gegevens wordt het Scantling  Number berekend, volgens de formule uit Boat Strength. </t>
  </si>
  <si>
    <t>formule in B19, resultaat ook.</t>
  </si>
  <si>
    <t>Berekende Chainplates (puttingen)</t>
  </si>
  <si>
    <t>Op basis van het SN worden , met de formules uit het boek onderstaande elementen berekend. De formules staan in de cellen met resultaten</t>
  </si>
  <si>
    <t>Chainplates (puttingen), eigenlijk alleen het oppervlak en de dikte van de huid waar de puttingen aan hangen. NIET gebruikt in de vergelijking met de echte boot, te lastig</t>
  </si>
  <si>
    <t>Laminaat Diktes voor volglas ortho polyester obv formules uit boek</t>
  </si>
  <si>
    <t>Lengte- stringers. Dit zijn volgens het boek holle of schuim/balsa gevulde stringers. De sterkteberekening houdt daar rekening mee</t>
  </si>
  <si>
    <t>Schotten, aantal, dikte, vastlamineer-breedte. De  totale lengte schot-romp contact komt uit gemiddelde breedte romp (dek) en de halve cirkel die de romp maakt.</t>
  </si>
  <si>
    <t xml:space="preserve">Kielbouten, de diameter en de benodigde contraplaten </t>
  </si>
  <si>
    <t>tot zover de berekeningen van de vereiste maten, diktes, diameters etc, alles op basis van de tot nu toe ingevulde simpele gegevens uit regel 4 t/m 12</t>
  </si>
  <si>
    <t>Dan moet er gemeten worden!</t>
  </si>
  <si>
    <t>LAMINAATDIKTE op 7 plaatsen. Invullen op regel 110-116</t>
  </si>
  <si>
    <t>er zijn 2 soorten: holle/sandwich, en massieve. Ingelamineerd hout (banken, kasten etc) is massief, hol is meestal een brede lage, herkenbaar als polyester.</t>
  </si>
  <si>
    <t>Beschrijving</t>
  </si>
  <si>
    <t>van de massieve wordt het volgende gemeten:</t>
  </si>
  <si>
    <t xml:space="preserve"> - lengte dus in de langsscheeps</t>
  </si>
  <si>
    <t xml:space="preserve"> - breedte, dus de dikte van de 'plank' oid</t>
  </si>
  <si>
    <t xml:space="preserve"> - hoogte, de geprojecteerde hoogte boven het stuk polyester romp (vlak, vrijboord, kim) waarop deze stringer is vastgelamineerd</t>
  </si>
  <si>
    <t xml:space="preserve"> - de totale breedte van het laminaat waarmee deze stringer op het polyester vast zit (dus beide zijden optellen, niet het glas op de stringer zelf meenemen</t>
  </si>
  <si>
    <t xml:space="preserve"> - dan ook de lengte van dit laminaatje. De meeste stringers zullen over hun volle lengte vastzitten, dus gelijk aan lengte. En anders minder, dus!</t>
  </si>
  <si>
    <t xml:space="preserve"> - facultatief: een beschrijving van de stringer. Voorkomt vergeten of dubbeltellen</t>
  </si>
  <si>
    <t>Dit alles wordt ingevuld in regels 125-154</t>
  </si>
  <si>
    <t>PAS OP: er lijkt 0 te staan in niet-ingevulde cellen, Er staat echter 0,0001  Dit voorkomt delen door nul-fouten…….</t>
  </si>
  <si>
    <t>Dezelfde gegevens als bij de massieve, behalve de laminaat-lengte, die is ongetwijfeld gelijk aan de stringer-lengte</t>
  </si>
  <si>
    <t>In de berekening wordt het holle deel niet meegerekend voor de stijfheid, zodat deze holle jongens vergeleken kunnen worden met de massieve!</t>
  </si>
  <si>
    <t>Pas op: alle velden zijn toegankelijk, geen beveiligingen etc !!! Je bent zomaar een formule kwijt….</t>
  </si>
  <si>
    <t>Wrangen, aantal, L, H en B. Sterkteberekening gaat uit van massief, omdat dat bij de gemeten wrangen ook moet (je weet niet wat erin zit).</t>
  </si>
  <si>
    <t>Romp-dek verbinding, vooral aantal en dikte boutjes en de overlap van romp en dek, het dubbele deel dus.</t>
  </si>
  <si>
    <t>Vervolgens volgen de holle/sandwich stringers op regels 161-170</t>
  </si>
  <si>
    <t>Het boek gaat uit van hechthouten schotten, geen sandwich-hout.</t>
  </si>
  <si>
    <t>De in te vullen gegevens per schot:</t>
  </si>
  <si>
    <t xml:space="preserve"> - de dikte</t>
  </si>
  <si>
    <t xml:space="preserve"> - de lengte van het contact-vlak met dek en romp. Vaak is dat de omtrek (bij echte, volledige schotten). Bij 'halve' schotten is het dus echt alleen de lengte van het contact</t>
  </si>
  <si>
    <t xml:space="preserve"> - de breedte van het laminaat waarmee het schot aan de huid of het dek zit, weer beide zijden optellen. </t>
  </si>
  <si>
    <t xml:space="preserve"> - de lengte van dit laminaat. Soms zitten schotten NIET aan het dek gelamineerd, etc etc. Die stukken tellen NIET mee.</t>
  </si>
  <si>
    <t xml:space="preserve"> - een beschrijving.</t>
  </si>
  <si>
    <t>totaal gelamineerd oppervlak stringers m2</t>
  </si>
  <si>
    <t>totale gelamineerde oppervlakte m2</t>
  </si>
  <si>
    <t>totaal gelamineerd oppervlak wrangen m2</t>
  </si>
  <si>
    <t>van elke wrang meten:</t>
  </si>
  <si>
    <t xml:space="preserve"> - de breedte, dus in de lengte-as van het schip</t>
  </si>
  <si>
    <t xml:space="preserve"> - de lengte, dus van SB naar BB</t>
  </si>
  <si>
    <t xml:space="preserve"> - de hoogste hoogte (in het midden dus). Er wordt gerekend met 0,7 maal die hoogte omdat stringers vaak naar de einden minder hoog worden.</t>
  </si>
  <si>
    <t xml:space="preserve"> - en dan weer de breedte van het laminaat links en rechts van de wrang.</t>
  </si>
  <si>
    <t>Wat wrangen betreft wordt de stijfheid uitgerekend alsof ze massief zijn. Dat is natuurlijk niet zo, maar omdat het zowel bij de eisen als bij de metingen gebeurt</t>
  </si>
  <si>
    <t xml:space="preserve">Het alternatief zou zijn precies de dikte van het laminaat over de wrang te meten…. Gaat vast niet lukken. </t>
  </si>
  <si>
    <t>kunnen we die twee dus goed vergelijken. Alleen de absolute stijfheid klopt natuurlijk niet.</t>
  </si>
  <si>
    <t>eindelijk iets eenvoudigs:</t>
  </si>
  <si>
    <t xml:space="preserve"> - aantal boutjes rondom SB, BB, spiegel in de romp-dek verbinding</t>
  </si>
  <si>
    <t xml:space="preserve"> - de diameter van zo'n boutje</t>
  </si>
  <si>
    <t xml:space="preserve"> - de overlap van romp en dek, ofwel, over welke breedte ligt het dek op de flens aan de romp.</t>
  </si>
  <si>
    <t>ook makkelijk!</t>
  </si>
  <si>
    <t>invullen in rij 215-230</t>
  </si>
  <si>
    <t>invullen in rij 183-202</t>
  </si>
  <si>
    <t xml:space="preserve"> - de diameter van een kielbout (of, als ze verschillen, de gewogen gemiddelde diameter)</t>
  </si>
  <si>
    <t xml:space="preserve"> - de L B en D van elk van de volgplaten. Als het ringen zijn:voor L en B de diameter min een beetje (want een crikel is kleiner dan een vierkant ….)</t>
  </si>
  <si>
    <t>PUTTINGEN</t>
  </si>
  <si>
    <t>niets, is te lastig om goed te kunnen meten….</t>
  </si>
  <si>
    <t>RESULTATEN</t>
  </si>
  <si>
    <t>Hierna volgen de resultaten.</t>
  </si>
  <si>
    <t>Elk element in de resultaten heeft een wegingsfactor die je zelf kunt invullen.</t>
  </si>
  <si>
    <t>Alle bij elkaar horende elementen (bijvoorbeeld de 7 laminaatdiktes) krijgen een gemiddelde wegingsfactor van hun onderdelen</t>
  </si>
  <si>
    <t>En die gemiddelden tellen weer mee in de totaalbeoordeling.</t>
  </si>
  <si>
    <t>en daar kan die boot natuurlijk niet aan voldoen.</t>
  </si>
  <si>
    <t>Probeer de weging in totaal dus ergens bij de 1 te laten uitkomen.</t>
  </si>
  <si>
    <t>veel plezier ermee!</t>
  </si>
  <si>
    <t>vragen en opmerkingen: capolavoro @xs4all.nl</t>
  </si>
  <si>
    <t>Als je de alle wegingsfactoren op 2 zet, bijvoorbeeld, scoort de hele boot maar de helft…. Dat is omdat je dan kennelijk alles 2 maal zo belangrijk vindt,</t>
  </si>
  <si>
    <t>NB kolommen G H en I zijn verborgen, daar zitten tussenresultaten in van de sterkte-berekeningen. ZO is het overzichtelijker…</t>
  </si>
  <si>
    <t>totale lengte gelamineerd schot/huid/dek contact</t>
  </si>
  <si>
    <t>formula 4-1</t>
  </si>
  <si>
    <t>formula 4-2</t>
  </si>
  <si>
    <t>formula 4-3</t>
  </si>
  <si>
    <t>dek en kajuit</t>
  </si>
  <si>
    <t>formula 4-12</t>
  </si>
  <si>
    <t>formula 5-1</t>
  </si>
  <si>
    <t>formula 5-2</t>
  </si>
  <si>
    <t>formula 5-3</t>
  </si>
  <si>
    <t>formula 5-5</t>
  </si>
  <si>
    <t>formula 5-9</t>
  </si>
  <si>
    <t>formula 5-7</t>
  </si>
  <si>
    <t>formula 5-10</t>
  </si>
  <si>
    <t>formula 5-12</t>
  </si>
  <si>
    <t>formula 5-13</t>
  </si>
  <si>
    <t>formula 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</si>
</sst>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0.0"/>
    <numFmt numFmtId="174" formatCode="0.000"/>
    <numFmt numFmtId="175" formatCode="0.0000"/>
    <numFmt numFmtId="176" formatCode="0.0%"/>
    <numFmt numFmtId="177" formatCode="0.E+0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24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3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172" fontId="0" fillId="0" borderId="0" xfId="0" applyNumberFormat="1"/>
    <xf numFmtId="1" fontId="0" fillId="0" borderId="0" xfId="0" applyNumberFormat="1"/>
    <xf numFmtId="0" fontId="5" fillId="0" borderId="0" xfId="0" applyFont="1"/>
    <xf numFmtId="0" fontId="0" fillId="0" borderId="0" xfId="0" applyFill="1"/>
    <xf numFmtId="0" fontId="0" fillId="2" borderId="1" xfId="0" applyFill="1" applyBorder="1"/>
    <xf numFmtId="0" fontId="0" fillId="3" borderId="0" xfId="0" applyFill="1"/>
    <xf numFmtId="0" fontId="4" fillId="4" borderId="0" xfId="0" applyFont="1" applyFill="1"/>
    <xf numFmtId="0" fontId="3" fillId="5" borderId="0" xfId="0" applyFont="1" applyFill="1"/>
    <xf numFmtId="0" fontId="5" fillId="0" borderId="0" xfId="0" applyFont="1" applyFill="1"/>
    <xf numFmtId="2" fontId="3" fillId="5" borderId="0" xfId="0" applyNumberFormat="1" applyFont="1" applyFill="1"/>
    <xf numFmtId="174" fontId="0" fillId="0" borderId="0" xfId="0" applyNumberFormat="1"/>
    <xf numFmtId="2" fontId="0" fillId="0" borderId="0" xfId="0" applyNumberFormat="1"/>
    <xf numFmtId="0" fontId="0" fillId="2" borderId="0" xfId="0" applyFill="1"/>
    <xf numFmtId="0" fontId="4" fillId="3" borderId="0" xfId="0" applyNumberFormat="1" applyFont="1" applyFill="1"/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175" fontId="3" fillId="0" borderId="0" xfId="0" applyNumberFormat="1" applyFont="1"/>
    <xf numFmtId="0" fontId="3" fillId="0" borderId="0" xfId="0" applyFont="1" applyFill="1"/>
    <xf numFmtId="0" fontId="0" fillId="0" borderId="0" xfId="0" applyNumberFormat="1" applyFill="1"/>
    <xf numFmtId="0" fontId="4" fillId="0" borderId="0" xfId="0" applyFont="1" applyFill="1"/>
    <xf numFmtId="0" fontId="4" fillId="6" borderId="0" xfId="0" applyFont="1" applyFill="1"/>
    <xf numFmtId="0" fontId="0" fillId="6" borderId="0" xfId="0" applyFill="1"/>
    <xf numFmtId="0" fontId="6" fillId="0" borderId="0" xfId="0" applyFont="1" applyFill="1"/>
    <xf numFmtId="0" fontId="6" fillId="0" borderId="0" xfId="0" applyFont="1"/>
    <xf numFmtId="177" fontId="0" fillId="0" borderId="0" xfId="0" applyNumberFormat="1"/>
    <xf numFmtId="174" fontId="3" fillId="0" borderId="0" xfId="0" applyNumberFormat="1" applyFont="1"/>
    <xf numFmtId="177" fontId="3" fillId="0" borderId="0" xfId="0" applyNumberFormat="1" applyFont="1"/>
    <xf numFmtId="0" fontId="0" fillId="0" borderId="0" xfId="0" applyFill="1" applyAlignment="1">
      <alignment horizontal="center"/>
    </xf>
    <xf numFmtId="1" fontId="0" fillId="0" borderId="0" xfId="0" applyNumberFormat="1" applyFill="1"/>
    <xf numFmtId="11" fontId="0" fillId="0" borderId="0" xfId="0" applyNumberFormat="1"/>
    <xf numFmtId="0" fontId="3" fillId="0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72" fontId="0" fillId="2" borderId="1" xfId="0" applyNumberFormat="1" applyFill="1" applyBorder="1"/>
    <xf numFmtId="0" fontId="0" fillId="7" borderId="0" xfId="0" applyFill="1"/>
    <xf numFmtId="0" fontId="3" fillId="7" borderId="0" xfId="0" applyFont="1" applyFill="1"/>
    <xf numFmtId="1" fontId="0" fillId="2" borderId="1" xfId="0" applyNumberFormat="1" applyFill="1" applyBorder="1"/>
    <xf numFmtId="9" fontId="0" fillId="0" borderId="0" xfId="0" applyNumberFormat="1"/>
    <xf numFmtId="9" fontId="3" fillId="0" borderId="0" xfId="0" applyNumberFormat="1" applyFont="1"/>
    <xf numFmtId="0" fontId="3" fillId="3" borderId="0" xfId="0" applyFont="1" applyFill="1"/>
    <xf numFmtId="0" fontId="0" fillId="2" borderId="0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/>
    <xf numFmtId="0" fontId="1" fillId="0" borderId="0" xfId="0" applyFont="1" applyFill="1" applyBorder="1"/>
    <xf numFmtId="0" fontId="0" fillId="8" borderId="0" xfId="0" applyFill="1" applyBorder="1"/>
    <xf numFmtId="0" fontId="0" fillId="8" borderId="0" xfId="0" applyFill="1"/>
    <xf numFmtId="0" fontId="0" fillId="5" borderId="0" xfId="0" applyFill="1" applyBorder="1"/>
    <xf numFmtId="0" fontId="4" fillId="4" borderId="0" xfId="0" applyFont="1" applyFill="1" applyBorder="1"/>
    <xf numFmtId="0" fontId="3" fillId="9" borderId="0" xfId="0" applyFont="1" applyFill="1"/>
    <xf numFmtId="2" fontId="6" fillId="0" borderId="0" xfId="0" applyNumberFormat="1" applyFont="1" applyFill="1"/>
    <xf numFmtId="2" fontId="6" fillId="0" borderId="0" xfId="0" applyNumberFormat="1" applyFont="1"/>
    <xf numFmtId="0" fontId="0" fillId="1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"/>
  <sheetViews>
    <sheetView workbookViewId="0">
      <selection activeCell="K313" sqref="K313"/>
    </sheetView>
  </sheetViews>
  <sheetFormatPr defaultRowHeight="13.2" x14ac:dyDescent="0.25"/>
  <cols>
    <col min="1" max="1" width="40.6640625" customWidth="1"/>
    <col min="2" max="2" width="10.109375" customWidth="1"/>
    <col min="3" max="3" width="11.109375" customWidth="1"/>
    <col min="4" max="4" width="10.88671875" customWidth="1"/>
    <col min="5" max="5" width="10" customWidth="1"/>
    <col min="6" max="6" width="10.6640625" customWidth="1"/>
    <col min="7" max="7" width="6.109375" hidden="1" customWidth="1"/>
    <col min="8" max="8" width="4" hidden="1" customWidth="1"/>
    <col min="9" max="9" width="6" hidden="1" customWidth="1"/>
    <col min="10" max="10" width="4" hidden="1" customWidth="1"/>
  </cols>
  <sheetData>
    <row r="1" spans="1:4" x14ac:dyDescent="0.25">
      <c r="A1" s="1" t="s">
        <v>302</v>
      </c>
    </row>
    <row r="2" spans="1:4" x14ac:dyDescent="0.25">
      <c r="A2" s="1" t="s">
        <v>162</v>
      </c>
    </row>
    <row r="3" spans="1:4" x14ac:dyDescent="0.25">
      <c r="A3" s="1"/>
    </row>
    <row r="4" spans="1:4" x14ac:dyDescent="0.25">
      <c r="A4" s="38" t="s">
        <v>7</v>
      </c>
      <c r="B4" s="51">
        <v>11.01</v>
      </c>
      <c r="C4" s="38" t="s">
        <v>10</v>
      </c>
      <c r="D4" s="38"/>
    </row>
    <row r="5" spans="1:4" x14ac:dyDescent="0.25">
      <c r="A5" s="38" t="s">
        <v>8</v>
      </c>
      <c r="B5" s="51">
        <v>3.66</v>
      </c>
      <c r="C5" s="38" t="s">
        <v>10</v>
      </c>
      <c r="D5" s="38"/>
    </row>
    <row r="6" spans="1:4" x14ac:dyDescent="0.25">
      <c r="A6" s="38" t="s">
        <v>9</v>
      </c>
      <c r="B6" s="51">
        <v>3.06</v>
      </c>
      <c r="C6" s="38" t="s">
        <v>10</v>
      </c>
      <c r="D6" s="38"/>
    </row>
    <row r="7" spans="1:4" x14ac:dyDescent="0.25">
      <c r="A7" s="38" t="s">
        <v>16</v>
      </c>
      <c r="B7" s="51">
        <v>1.1000000000000001</v>
      </c>
      <c r="C7" s="38" t="s">
        <v>10</v>
      </c>
      <c r="D7" s="38"/>
    </row>
    <row r="8" spans="1:4" x14ac:dyDescent="0.25">
      <c r="A8" s="38" t="s">
        <v>17</v>
      </c>
      <c r="B8" s="51">
        <v>0.43</v>
      </c>
      <c r="C8" s="38" t="s">
        <v>10</v>
      </c>
      <c r="D8" s="38"/>
    </row>
    <row r="9" spans="1:4" x14ac:dyDescent="0.25">
      <c r="A9" s="38" t="s">
        <v>14</v>
      </c>
      <c r="B9" s="51">
        <v>2.0099999999999998</v>
      </c>
      <c r="C9" s="38" t="s">
        <v>10</v>
      </c>
      <c r="D9" s="38"/>
    </row>
    <row r="10" spans="1:4" x14ac:dyDescent="0.25">
      <c r="A10" s="38" t="s">
        <v>15</v>
      </c>
      <c r="B10" s="51">
        <v>2400</v>
      </c>
      <c r="C10" s="38" t="s">
        <v>19</v>
      </c>
      <c r="D10" s="38"/>
    </row>
    <row r="11" spans="1:4" x14ac:dyDescent="0.25">
      <c r="A11" s="38" t="s">
        <v>23</v>
      </c>
      <c r="B11" s="51">
        <v>6</v>
      </c>
      <c r="C11" s="39" t="s">
        <v>24</v>
      </c>
      <c r="D11" s="38"/>
    </row>
    <row r="12" spans="1:4" x14ac:dyDescent="0.25">
      <c r="A12" s="38" t="s">
        <v>25</v>
      </c>
      <c r="B12" s="51">
        <v>245</v>
      </c>
      <c r="C12" s="38" t="s">
        <v>0</v>
      </c>
      <c r="D12" s="38"/>
    </row>
    <row r="15" spans="1:4" x14ac:dyDescent="0.25">
      <c r="A15" s="7" t="s">
        <v>20</v>
      </c>
      <c r="B15" s="7">
        <f>B7+B8</f>
        <v>1.53</v>
      </c>
      <c r="C15" s="7" t="s">
        <v>10</v>
      </c>
    </row>
    <row r="16" spans="1:4" x14ac:dyDescent="0.25">
      <c r="A16" s="7" t="s">
        <v>21</v>
      </c>
      <c r="B16" s="7">
        <f>AVERAGE(B5:B6)</f>
        <v>3.3600000000000003</v>
      </c>
      <c r="C16" s="7" t="s">
        <v>10</v>
      </c>
    </row>
    <row r="17" spans="1:8" x14ac:dyDescent="0.25">
      <c r="A17" s="7" t="s">
        <v>22</v>
      </c>
      <c r="B17" s="7">
        <f>(B9-B8)*1000</f>
        <v>1579.9999999999998</v>
      </c>
      <c r="C17" s="7" t="s">
        <v>0</v>
      </c>
    </row>
    <row r="19" spans="1:8" x14ac:dyDescent="0.25">
      <c r="A19" s="9" t="s">
        <v>53</v>
      </c>
      <c r="B19" s="11">
        <f>ROUND(B4*B16*B15/28.32,2)</f>
        <v>2</v>
      </c>
    </row>
    <row r="20" spans="1:8" x14ac:dyDescent="0.25">
      <c r="A20" s="1"/>
      <c r="B20" s="1"/>
    </row>
    <row r="21" spans="1:8" x14ac:dyDescent="0.25">
      <c r="A21" s="8" t="s">
        <v>62</v>
      </c>
      <c r="B21" s="1"/>
    </row>
    <row r="22" spans="1:8" x14ac:dyDescent="0.25">
      <c r="A22" t="s">
        <v>31</v>
      </c>
      <c r="B22" s="2">
        <f>6.35*B19^0.3</f>
        <v>7.8177670247402178</v>
      </c>
      <c r="C22" t="s">
        <v>0</v>
      </c>
      <c r="E22" t="s">
        <v>386</v>
      </c>
      <c r="H22" s="5"/>
    </row>
    <row r="23" spans="1:8" x14ac:dyDescent="0.25">
      <c r="A23" t="s">
        <v>32</v>
      </c>
      <c r="B23" s="2">
        <f>B22*1.15</f>
        <v>8.9904320784512493</v>
      </c>
      <c r="C23" t="s">
        <v>0</v>
      </c>
      <c r="E23" t="s">
        <v>387</v>
      </c>
    </row>
    <row r="24" spans="1:8" x14ac:dyDescent="0.25">
      <c r="A24" t="s">
        <v>35</v>
      </c>
      <c r="B24" s="2">
        <f>B22*1.5</f>
        <v>11.726650537110327</v>
      </c>
      <c r="C24" t="s">
        <v>0</v>
      </c>
      <c r="E24" t="s">
        <v>387</v>
      </c>
    </row>
    <row r="25" spans="1:8" x14ac:dyDescent="0.25">
      <c r="A25" t="s">
        <v>33</v>
      </c>
      <c r="B25" s="2">
        <f>B22*0.85</f>
        <v>6.6451019710291845</v>
      </c>
      <c r="C25" t="s">
        <v>0</v>
      </c>
      <c r="E25" t="s">
        <v>387</v>
      </c>
    </row>
    <row r="26" spans="1:8" x14ac:dyDescent="0.25">
      <c r="A26" t="s">
        <v>389</v>
      </c>
      <c r="B26" s="2">
        <f>B25</f>
        <v>6.6451019710291845</v>
      </c>
      <c r="C26" t="s">
        <v>0</v>
      </c>
      <c r="E26" t="s">
        <v>387</v>
      </c>
    </row>
    <row r="27" spans="1:8" x14ac:dyDescent="0.25">
      <c r="A27" t="s">
        <v>34</v>
      </c>
      <c r="B27" s="2">
        <f>10*13.71*B19^0.38</f>
        <v>178.41396838108912</v>
      </c>
      <c r="C27" t="s">
        <v>11</v>
      </c>
      <c r="E27" t="s">
        <v>388</v>
      </c>
    </row>
    <row r="28" spans="1:8" x14ac:dyDescent="0.25">
      <c r="A28" t="s">
        <v>36</v>
      </c>
      <c r="B28" s="2">
        <f>1.5*11.9</f>
        <v>17.850000000000001</v>
      </c>
      <c r="C28" t="s">
        <v>0</v>
      </c>
      <c r="E28" t="s">
        <v>390</v>
      </c>
    </row>
    <row r="29" spans="1:8" x14ac:dyDescent="0.25">
      <c r="A29" t="s">
        <v>41</v>
      </c>
      <c r="B29" s="2">
        <f>MAXA(0.08*B5*1000,B12)</f>
        <v>292.8</v>
      </c>
      <c r="C29" t="s">
        <v>0</v>
      </c>
      <c r="E29" t="s">
        <v>390</v>
      </c>
    </row>
    <row r="31" spans="1:8" x14ac:dyDescent="0.25">
      <c r="A31" s="8" t="s">
        <v>63</v>
      </c>
    </row>
    <row r="32" spans="1:8" x14ac:dyDescent="0.25">
      <c r="A32" s="10" t="s">
        <v>54</v>
      </c>
      <c r="B32">
        <v>10</v>
      </c>
      <c r="E32" t="s">
        <v>391</v>
      </c>
    </row>
    <row r="33" spans="1:5" x14ac:dyDescent="0.25">
      <c r="A33" t="s">
        <v>216</v>
      </c>
      <c r="B33" s="2">
        <f>78.7*B19^(0.3)</f>
        <v>96.891065330244913</v>
      </c>
      <c r="C33" t="s">
        <v>0</v>
      </c>
      <c r="D33" s="2"/>
      <c r="E33" t="s">
        <v>392</v>
      </c>
    </row>
    <row r="34" spans="1:5" x14ac:dyDescent="0.25">
      <c r="A34" t="s">
        <v>215</v>
      </c>
      <c r="B34" s="2">
        <f>78.7*B19^(1/3)</f>
        <v>99.155786626726524</v>
      </c>
      <c r="C34" t="s">
        <v>0</v>
      </c>
      <c r="E34" t="s">
        <v>392</v>
      </c>
    </row>
    <row r="35" spans="1:5" x14ac:dyDescent="0.25">
      <c r="A35" t="s">
        <v>40</v>
      </c>
      <c r="B35" s="2">
        <f>4.6*B19^0.4</f>
        <v>6.0697363895553131</v>
      </c>
      <c r="C35" t="s">
        <v>0</v>
      </c>
      <c r="E35" t="s">
        <v>392</v>
      </c>
    </row>
    <row r="36" spans="1:5" x14ac:dyDescent="0.25">
      <c r="A36" t="s">
        <v>220</v>
      </c>
      <c r="B36" s="2">
        <f>B33+B35</f>
        <v>102.96080171980023</v>
      </c>
      <c r="C36" t="s">
        <v>0</v>
      </c>
    </row>
    <row r="37" spans="1:5" x14ac:dyDescent="0.25">
      <c r="A37" t="s">
        <v>219</v>
      </c>
      <c r="B37" s="2">
        <f>B34+B35</f>
        <v>105.22552301628184</v>
      </c>
      <c r="C37" t="s">
        <v>0</v>
      </c>
    </row>
    <row r="38" spans="1:5" x14ac:dyDescent="0.25">
      <c r="A38" t="s">
        <v>42</v>
      </c>
      <c r="B38" s="2">
        <f>B35*10</f>
        <v>60.697363895553131</v>
      </c>
      <c r="C38" t="s">
        <v>0</v>
      </c>
      <c r="E38" t="s">
        <v>392</v>
      </c>
    </row>
    <row r="39" spans="1:5" x14ac:dyDescent="0.25">
      <c r="A39" t="s">
        <v>217</v>
      </c>
      <c r="B39" s="2">
        <f>79.2*B19^0.28</f>
        <v>96.16423484408773</v>
      </c>
      <c r="C39" t="s">
        <v>0</v>
      </c>
      <c r="E39" t="s">
        <v>393</v>
      </c>
    </row>
    <row r="40" spans="1:5" x14ac:dyDescent="0.25">
      <c r="A40" t="s">
        <v>218</v>
      </c>
      <c r="B40" s="2">
        <f>B39/2</f>
        <v>48.082117422043865</v>
      </c>
      <c r="C40" t="s">
        <v>0</v>
      </c>
      <c r="D40" s="2"/>
      <c r="E40" t="s">
        <v>393</v>
      </c>
    </row>
    <row r="41" spans="1:5" x14ac:dyDescent="0.25">
      <c r="A41" t="s">
        <v>43</v>
      </c>
      <c r="B41" s="2">
        <f>4.32*B19^0.38</f>
        <v>5.6217968155091533</v>
      </c>
      <c r="C41" t="s">
        <v>0</v>
      </c>
      <c r="E41" t="s">
        <v>393</v>
      </c>
    </row>
    <row r="42" spans="1:5" x14ac:dyDescent="0.25">
      <c r="A42" t="s">
        <v>221</v>
      </c>
      <c r="B42" s="2">
        <f>B39+B41</f>
        <v>101.78603165959689</v>
      </c>
      <c r="C42" t="s">
        <v>0</v>
      </c>
    </row>
    <row r="43" spans="1:5" x14ac:dyDescent="0.25">
      <c r="A43" t="s">
        <v>222</v>
      </c>
      <c r="B43" s="2">
        <f>B40+B41</f>
        <v>53.703914237553022</v>
      </c>
      <c r="C43" t="s">
        <v>0</v>
      </c>
    </row>
    <row r="44" spans="1:5" x14ac:dyDescent="0.25">
      <c r="A44" t="s">
        <v>55</v>
      </c>
      <c r="B44" s="2">
        <f>B41*10*2</f>
        <v>112.43593631018307</v>
      </c>
      <c r="C44" t="s">
        <v>0</v>
      </c>
      <c r="E44" t="s">
        <v>393</v>
      </c>
    </row>
    <row r="45" spans="1:5" x14ac:dyDescent="0.25">
      <c r="B45" s="2"/>
    </row>
    <row r="46" spans="1:5" x14ac:dyDescent="0.25">
      <c r="A46" t="s">
        <v>223</v>
      </c>
      <c r="B46" s="35">
        <f>((B37^3/12*B36/(0.5*B37))-(B34^3/12*B33/(0.5*B34)))*2*B4*1000</f>
        <v>687772391.73016346</v>
      </c>
      <c r="C46" t="s">
        <v>226</v>
      </c>
    </row>
    <row r="47" spans="1:5" x14ac:dyDescent="0.25">
      <c r="A47" t="s">
        <v>224</v>
      </c>
      <c r="B47" s="35">
        <f>((B43^3/12*B42/(0.5*B43))-(B40^3/12*B39/(0.5*B40)))*8*B4*1000</f>
        <v>1045818151.9275402</v>
      </c>
      <c r="C47" t="s">
        <v>227</v>
      </c>
    </row>
    <row r="48" spans="1:5" x14ac:dyDescent="0.25">
      <c r="B48" s="35"/>
    </row>
    <row r="49" spans="1:5" x14ac:dyDescent="0.25">
      <c r="A49" t="s">
        <v>214</v>
      </c>
      <c r="B49" s="35">
        <f>SUM(B46:B47)</f>
        <v>1733590543.6577036</v>
      </c>
    </row>
    <row r="50" spans="1:5" x14ac:dyDescent="0.25">
      <c r="A50" t="s">
        <v>60</v>
      </c>
      <c r="B50" s="13">
        <f>0.8*B4*B32*2*B44/1000</f>
        <v>19.806714540401849</v>
      </c>
      <c r="C50" t="s">
        <v>59</v>
      </c>
    </row>
    <row r="52" spans="1:5" x14ac:dyDescent="0.25">
      <c r="A52" s="8" t="s">
        <v>64</v>
      </c>
    </row>
    <row r="53" spans="1:5" x14ac:dyDescent="0.25">
      <c r="A53" t="s">
        <v>1</v>
      </c>
      <c r="B53" s="3">
        <f>1.15*B4^0.7</f>
        <v>6.1652254660211971</v>
      </c>
      <c r="E53" t="s">
        <v>394</v>
      </c>
    </row>
    <row r="54" spans="1:5" x14ac:dyDescent="0.25">
      <c r="A54" t="s">
        <v>2</v>
      </c>
      <c r="B54" s="3">
        <f>11.43*B19^0.3</f>
        <v>14.071980644532394</v>
      </c>
      <c r="C54" t="s">
        <v>0</v>
      </c>
      <c r="E54" t="s">
        <v>394</v>
      </c>
    </row>
    <row r="55" spans="1:5" x14ac:dyDescent="0.25">
      <c r="A55" t="s">
        <v>57</v>
      </c>
      <c r="B55" s="3">
        <f>2.1*746^0.56</f>
        <v>85.300787010931629</v>
      </c>
      <c r="C55" t="s">
        <v>0</v>
      </c>
      <c r="E55" t="s">
        <v>394</v>
      </c>
    </row>
    <row r="56" spans="1:5" x14ac:dyDescent="0.25">
      <c r="B56" s="3"/>
    </row>
    <row r="57" spans="1:5" x14ac:dyDescent="0.25">
      <c r="A57" t="s">
        <v>56</v>
      </c>
      <c r="B57" s="3">
        <f>B53*B54</f>
        <v>86.756933427028486</v>
      </c>
      <c r="C57" t="s">
        <v>0</v>
      </c>
    </row>
    <row r="58" spans="1:5" x14ac:dyDescent="0.25">
      <c r="A58" t="s">
        <v>78</v>
      </c>
      <c r="B58" s="3">
        <f>B53*B5*0.7+0.7*B53*PI()*B15</f>
        <v>36.539107194979366</v>
      </c>
      <c r="C58" t="s">
        <v>10</v>
      </c>
    </row>
    <row r="59" spans="1:5" x14ac:dyDescent="0.25">
      <c r="A59" t="s">
        <v>58</v>
      </c>
      <c r="B59" s="13">
        <f>B58*2*B55/1000</f>
        <v>6.2336292008170684</v>
      </c>
      <c r="C59" t="s">
        <v>59</v>
      </c>
    </row>
    <row r="61" spans="1:5" x14ac:dyDescent="0.25">
      <c r="A61" s="8" t="s">
        <v>65</v>
      </c>
    </row>
    <row r="62" spans="1:5" x14ac:dyDescent="0.25">
      <c r="A62" t="s">
        <v>232</v>
      </c>
      <c r="B62" s="3">
        <f>ROUND(3*B19^0.2+0.5,0)</f>
        <v>4</v>
      </c>
      <c r="E62" t="s">
        <v>395</v>
      </c>
    </row>
    <row r="63" spans="1:5" x14ac:dyDescent="0.25">
      <c r="A63" t="s">
        <v>6</v>
      </c>
      <c r="B63" s="3">
        <f>0.4*B5*1000</f>
        <v>1464.0000000000002</v>
      </c>
      <c r="C63" t="s">
        <v>0</v>
      </c>
      <c r="E63" t="s">
        <v>395</v>
      </c>
    </row>
    <row r="64" spans="1:5" x14ac:dyDescent="0.25">
      <c r="A64" t="s">
        <v>37</v>
      </c>
      <c r="B64" s="3">
        <f>406*B19^0.2</f>
        <v>466.37153212879628</v>
      </c>
      <c r="C64" t="s">
        <v>0</v>
      </c>
      <c r="E64" t="s">
        <v>395</v>
      </c>
    </row>
    <row r="65" spans="1:5" x14ac:dyDescent="0.25">
      <c r="A65" t="s">
        <v>3</v>
      </c>
      <c r="B65" s="3">
        <f>78.7*B19^0.3</f>
        <v>96.891065330244913</v>
      </c>
      <c r="C65" t="s">
        <v>0</v>
      </c>
      <c r="E65" t="s">
        <v>396</v>
      </c>
    </row>
    <row r="66" spans="1:5" x14ac:dyDescent="0.25">
      <c r="A66" t="s">
        <v>4</v>
      </c>
      <c r="B66" s="3">
        <f>2.5*B65</f>
        <v>242.2276633256123</v>
      </c>
      <c r="C66" t="s">
        <v>0</v>
      </c>
      <c r="E66" t="s">
        <v>396</v>
      </c>
    </row>
    <row r="67" spans="1:5" x14ac:dyDescent="0.25">
      <c r="A67" t="s">
        <v>5</v>
      </c>
      <c r="B67" s="2">
        <f>4.6*B19^0.4</f>
        <v>6.0697363895553131</v>
      </c>
      <c r="C67" t="s">
        <v>0</v>
      </c>
      <c r="E67" t="s">
        <v>396</v>
      </c>
    </row>
    <row r="68" spans="1:5" x14ac:dyDescent="0.25">
      <c r="A68" t="s">
        <v>38</v>
      </c>
      <c r="B68" s="3">
        <f>B65</f>
        <v>96.891065330244913</v>
      </c>
      <c r="C68" t="s">
        <v>0</v>
      </c>
      <c r="E68" t="s">
        <v>396</v>
      </c>
    </row>
    <row r="69" spans="1:5" x14ac:dyDescent="0.25">
      <c r="A69" t="s">
        <v>230</v>
      </c>
      <c r="B69" s="3">
        <f>B65+B67</f>
        <v>102.96080171980023</v>
      </c>
      <c r="C69" t="s">
        <v>0</v>
      </c>
    </row>
    <row r="70" spans="1:5" x14ac:dyDescent="0.25">
      <c r="A70" t="s">
        <v>229</v>
      </c>
      <c r="B70" s="3">
        <f>B66+B67</f>
        <v>248.29739971516761</v>
      </c>
      <c r="C70" t="s">
        <v>0</v>
      </c>
    </row>
    <row r="71" spans="1:5" x14ac:dyDescent="0.25">
      <c r="B71" s="3"/>
    </row>
    <row r="72" spans="1:5" x14ac:dyDescent="0.25">
      <c r="A72" t="s">
        <v>228</v>
      </c>
      <c r="B72" s="30">
        <f>(((B69*B70^3/12)/0.5*B70)*B62*B63)</f>
        <v>381953434088907.81</v>
      </c>
      <c r="C72" t="s">
        <v>226</v>
      </c>
    </row>
    <row r="73" spans="1:5" x14ac:dyDescent="0.25">
      <c r="A73" t="s">
        <v>61</v>
      </c>
      <c r="B73" s="13">
        <f>B62*B63/1000*2*B68/1000</f>
        <v>1.1347881571478284</v>
      </c>
      <c r="C73" t="s">
        <v>59</v>
      </c>
    </row>
    <row r="75" spans="1:5" x14ac:dyDescent="0.25">
      <c r="A75" s="8" t="s">
        <v>66</v>
      </c>
    </row>
    <row r="76" spans="1:5" x14ac:dyDescent="0.25">
      <c r="A76" s="4" t="s">
        <v>12</v>
      </c>
      <c r="B76">
        <f>ROUND(5.58*B19^0.2,1)</f>
        <v>6.4</v>
      </c>
      <c r="C76" t="s">
        <v>0</v>
      </c>
      <c r="E76" t="s">
        <v>397</v>
      </c>
    </row>
    <row r="77" spans="1:5" x14ac:dyDescent="0.25">
      <c r="A77" s="4" t="s">
        <v>39</v>
      </c>
      <c r="B77">
        <f>32*B76-50.8</f>
        <v>154</v>
      </c>
      <c r="C77" t="s">
        <v>0</v>
      </c>
      <c r="E77" t="s">
        <v>397</v>
      </c>
    </row>
    <row r="78" spans="1:5" x14ac:dyDescent="0.25">
      <c r="A78" s="4" t="s">
        <v>13</v>
      </c>
      <c r="B78" s="3">
        <f>0.4*B76^2.25</f>
        <v>26.05943124023873</v>
      </c>
      <c r="C78" t="s">
        <v>0</v>
      </c>
      <c r="E78" t="s">
        <v>397</v>
      </c>
    </row>
    <row r="79" spans="1:5" x14ac:dyDescent="0.25">
      <c r="A79" t="s">
        <v>69</v>
      </c>
      <c r="B79" s="3">
        <f>B4*1000/B77*2*PI()*(B76/2)^2</f>
        <v>4599.8791634815834</v>
      </c>
      <c r="C79" t="s">
        <v>52</v>
      </c>
    </row>
    <row r="81" spans="1:5" x14ac:dyDescent="0.25">
      <c r="A81" s="8" t="s">
        <v>67</v>
      </c>
    </row>
    <row r="82" spans="1:5" x14ac:dyDescent="0.25">
      <c r="A82" t="s">
        <v>26</v>
      </c>
      <c r="B82" s="3">
        <f>(8*B17*B10)/(2*B12*B11)</f>
        <v>10318.367346938774</v>
      </c>
      <c r="C82" t="s">
        <v>18</v>
      </c>
      <c r="E82" t="s">
        <v>398</v>
      </c>
    </row>
    <row r="83" spans="1:5" x14ac:dyDescent="0.25">
      <c r="A83" t="s">
        <v>27</v>
      </c>
      <c r="B83" s="2">
        <f>SQRT(B82/11/PI())</f>
        <v>17.279621039106949</v>
      </c>
      <c r="C83" t="s">
        <v>0</v>
      </c>
      <c r="E83" t="s">
        <v>398</v>
      </c>
    </row>
    <row r="84" spans="1:5" x14ac:dyDescent="0.25">
      <c r="A84" t="s">
        <v>28</v>
      </c>
      <c r="B84">
        <f>B12+40</f>
        <v>285</v>
      </c>
      <c r="C84" t="s">
        <v>0</v>
      </c>
      <c r="E84" t="s">
        <v>399</v>
      </c>
    </row>
    <row r="85" spans="1:5" x14ac:dyDescent="0.25">
      <c r="A85" t="s">
        <v>29</v>
      </c>
      <c r="B85" s="3">
        <f>B65</f>
        <v>96.891065330244913</v>
      </c>
      <c r="C85" t="s">
        <v>0</v>
      </c>
      <c r="E85" t="s">
        <v>399</v>
      </c>
    </row>
    <row r="86" spans="1:5" x14ac:dyDescent="0.25">
      <c r="A86" t="s">
        <v>30</v>
      </c>
      <c r="B86" s="3">
        <f>B83/3</f>
        <v>5.7598736797023165</v>
      </c>
      <c r="C86" t="s">
        <v>0</v>
      </c>
      <c r="E86" t="s">
        <v>399</v>
      </c>
    </row>
    <row r="87" spans="1:5" x14ac:dyDescent="0.25">
      <c r="B87" s="3"/>
    </row>
    <row r="88" spans="1:5" x14ac:dyDescent="0.25">
      <c r="A88" t="s">
        <v>69</v>
      </c>
      <c r="B88" s="3">
        <f>(B83/2)^2*PI()*2*B11</f>
        <v>2814.1001855287559</v>
      </c>
      <c r="C88" t="s">
        <v>52</v>
      </c>
    </row>
    <row r="89" spans="1:5" x14ac:dyDescent="0.25">
      <c r="A89" t="s">
        <v>210</v>
      </c>
      <c r="B89" s="3">
        <f>B84*B85*B11</f>
        <v>165683.72171471879</v>
      </c>
      <c r="C89" t="s">
        <v>52</v>
      </c>
    </row>
    <row r="90" spans="1:5" x14ac:dyDescent="0.25">
      <c r="A90" t="s">
        <v>163</v>
      </c>
      <c r="B90" s="12">
        <f>B84*B85*B86/1000000*B11</f>
        <v>0.9543173078597319</v>
      </c>
      <c r="C90" t="s">
        <v>51</v>
      </c>
    </row>
    <row r="92" spans="1:5" x14ac:dyDescent="0.25">
      <c r="A92" s="8" t="s">
        <v>318</v>
      </c>
    </row>
    <row r="93" spans="1:5" x14ac:dyDescent="0.25">
      <c r="A93" t="s">
        <v>44</v>
      </c>
    </row>
    <row r="94" spans="1:5" x14ac:dyDescent="0.25">
      <c r="A94" t="s">
        <v>45</v>
      </c>
      <c r="B94" s="2">
        <f>1.3*B22</f>
        <v>10.163097132162283</v>
      </c>
      <c r="C94" t="s">
        <v>0</v>
      </c>
      <c r="E94" t="s">
        <v>400</v>
      </c>
    </row>
    <row r="95" spans="1:5" x14ac:dyDescent="0.25">
      <c r="A95" t="s">
        <v>46</v>
      </c>
      <c r="B95">
        <f>0.8*B5*1000</f>
        <v>2928.0000000000005</v>
      </c>
      <c r="C95" t="s">
        <v>0</v>
      </c>
      <c r="E95" t="s">
        <v>400</v>
      </c>
    </row>
    <row r="96" spans="1:5" x14ac:dyDescent="0.25">
      <c r="A96" t="s">
        <v>48</v>
      </c>
      <c r="B96">
        <v>0</v>
      </c>
      <c r="C96" t="s">
        <v>49</v>
      </c>
      <c r="E96" t="s">
        <v>400</v>
      </c>
    </row>
    <row r="97" spans="1:8" x14ac:dyDescent="0.25">
      <c r="A97" t="s">
        <v>47</v>
      </c>
      <c r="C97" t="s">
        <v>50</v>
      </c>
    </row>
    <row r="100" spans="1:8" x14ac:dyDescent="0.25">
      <c r="A100" s="41" t="s">
        <v>68</v>
      </c>
      <c r="B100" s="41"/>
      <c r="C100" s="41"/>
      <c r="D100" s="41"/>
      <c r="E100" s="41"/>
      <c r="F100" s="41"/>
      <c r="G100" s="41"/>
      <c r="H100" s="41"/>
    </row>
    <row r="101" spans="1:8" x14ac:dyDescent="0.25">
      <c r="A101" s="41"/>
      <c r="B101" s="41"/>
      <c r="C101" s="41"/>
      <c r="D101" s="41"/>
      <c r="E101" s="41"/>
      <c r="F101" s="41"/>
      <c r="G101" s="41"/>
      <c r="H101" s="41"/>
    </row>
    <row r="102" spans="1:8" x14ac:dyDescent="0.25">
      <c r="A102" s="42" t="s">
        <v>291</v>
      </c>
      <c r="B102" s="41"/>
      <c r="C102" s="41"/>
      <c r="D102" s="41"/>
      <c r="E102" s="41"/>
      <c r="F102" s="41"/>
      <c r="G102" s="41"/>
      <c r="H102" s="41"/>
    </row>
    <row r="103" spans="1:8" x14ac:dyDescent="0.25">
      <c r="A103" s="41"/>
      <c r="B103" s="41"/>
      <c r="C103" s="41"/>
      <c r="D103" s="41"/>
      <c r="E103" s="41"/>
      <c r="F103" s="41"/>
      <c r="G103" s="41"/>
      <c r="H103" s="41"/>
    </row>
    <row r="104" spans="1:8" x14ac:dyDescent="0.25">
      <c r="A104" s="41" t="s">
        <v>68</v>
      </c>
      <c r="B104" s="41"/>
      <c r="C104" s="41"/>
      <c r="D104" s="41"/>
      <c r="E104" s="41"/>
      <c r="F104" s="41"/>
      <c r="G104" s="41"/>
      <c r="H104" s="41"/>
    </row>
    <row r="105" spans="1:8" x14ac:dyDescent="0.25">
      <c r="A105" s="41"/>
      <c r="B105" s="41"/>
      <c r="C105" s="41"/>
      <c r="D105" s="41"/>
      <c r="E105" s="41"/>
      <c r="F105" s="41"/>
      <c r="G105" s="41"/>
      <c r="H105" s="41"/>
    </row>
    <row r="106" spans="1:8" x14ac:dyDescent="0.25">
      <c r="A106" s="42" t="s">
        <v>292</v>
      </c>
      <c r="B106" s="41"/>
      <c r="C106" s="41"/>
      <c r="D106" s="41"/>
      <c r="E106" s="41"/>
      <c r="F106" s="41"/>
      <c r="G106" s="41"/>
      <c r="H106" s="41"/>
    </row>
    <row r="107" spans="1:8" x14ac:dyDescent="0.25">
      <c r="A107" s="42"/>
      <c r="B107" s="41"/>
      <c r="C107" s="41"/>
      <c r="D107" s="41"/>
      <c r="E107" s="41"/>
      <c r="F107" s="41"/>
      <c r="G107" s="41"/>
      <c r="H107" s="41"/>
    </row>
    <row r="108" spans="1:8" x14ac:dyDescent="0.25">
      <c r="A108" s="42" t="s">
        <v>293</v>
      </c>
      <c r="B108" s="41"/>
      <c r="C108" s="41"/>
      <c r="D108" s="41"/>
      <c r="E108" s="41"/>
      <c r="F108" s="41"/>
      <c r="G108" s="41"/>
      <c r="H108" s="41"/>
    </row>
    <row r="110" spans="1:8" x14ac:dyDescent="0.25">
      <c r="A110" s="15" t="s">
        <v>77</v>
      </c>
      <c r="B110" s="37" t="s">
        <v>286</v>
      </c>
      <c r="C110" s="15"/>
      <c r="D110" s="15"/>
      <c r="E110" s="15"/>
      <c r="F110" s="15"/>
    </row>
    <row r="111" spans="1:8" x14ac:dyDescent="0.25">
      <c r="A111" t="s">
        <v>31</v>
      </c>
      <c r="B111" s="40">
        <v>7.8</v>
      </c>
      <c r="C111" t="s">
        <v>0</v>
      </c>
    </row>
    <row r="112" spans="1:8" x14ac:dyDescent="0.25">
      <c r="A112" t="s">
        <v>32</v>
      </c>
      <c r="B112" s="40">
        <v>9</v>
      </c>
      <c r="C112" t="s">
        <v>0</v>
      </c>
    </row>
    <row r="113" spans="1:13" x14ac:dyDescent="0.25">
      <c r="A113" t="s">
        <v>35</v>
      </c>
      <c r="B113" s="40">
        <v>11.7</v>
      </c>
      <c r="C113" t="s">
        <v>0</v>
      </c>
    </row>
    <row r="114" spans="1:13" x14ac:dyDescent="0.25">
      <c r="A114" t="s">
        <v>33</v>
      </c>
      <c r="B114" s="40">
        <v>6.6</v>
      </c>
      <c r="C114" t="s">
        <v>0</v>
      </c>
    </row>
    <row r="115" spans="1:13" x14ac:dyDescent="0.25">
      <c r="A115" t="s">
        <v>70</v>
      </c>
      <c r="B115" s="40">
        <v>178.4</v>
      </c>
      <c r="C115" t="s">
        <v>11</v>
      </c>
    </row>
    <row r="116" spans="1:13" x14ac:dyDescent="0.25">
      <c r="A116" t="s">
        <v>71</v>
      </c>
      <c r="B116" s="40">
        <v>17.899999999999999</v>
      </c>
      <c r="C116" t="s">
        <v>0</v>
      </c>
    </row>
    <row r="117" spans="1:13" x14ac:dyDescent="0.25">
      <c r="A117" t="s">
        <v>41</v>
      </c>
      <c r="B117" s="40">
        <v>292.8</v>
      </c>
      <c r="C117" t="s">
        <v>0</v>
      </c>
    </row>
    <row r="120" spans="1:13" x14ac:dyDescent="0.25">
      <c r="A120" s="15" t="s">
        <v>72</v>
      </c>
      <c r="B120" s="37" t="s">
        <v>286</v>
      </c>
      <c r="C120" s="37" t="s">
        <v>287</v>
      </c>
      <c r="D120" s="37" t="s">
        <v>288</v>
      </c>
      <c r="E120" s="37" t="s">
        <v>290</v>
      </c>
      <c r="F120" s="37" t="s">
        <v>289</v>
      </c>
    </row>
    <row r="121" spans="1:13" x14ac:dyDescent="0.25">
      <c r="A121" s="16"/>
      <c r="B121" s="36"/>
      <c r="C121" s="36"/>
      <c r="D121" s="36"/>
      <c r="E121" s="21" t="s">
        <v>97</v>
      </c>
      <c r="F121" s="36"/>
      <c r="G121" s="17"/>
    </row>
    <row r="122" spans="1:13" x14ac:dyDescent="0.25">
      <c r="A122" s="16"/>
      <c r="B122" s="36"/>
      <c r="C122" s="36"/>
      <c r="D122" s="36"/>
      <c r="E122" s="21" t="s">
        <v>75</v>
      </c>
      <c r="F122" s="36"/>
      <c r="G122" s="17"/>
    </row>
    <row r="123" spans="1:13" x14ac:dyDescent="0.25">
      <c r="A123" s="16"/>
      <c r="B123" s="36"/>
      <c r="C123" s="36"/>
      <c r="D123" s="36"/>
      <c r="E123" s="21" t="s">
        <v>279</v>
      </c>
      <c r="F123" s="36" t="s">
        <v>233</v>
      </c>
      <c r="G123" s="17"/>
    </row>
    <row r="124" spans="1:13" x14ac:dyDescent="0.25">
      <c r="A124" s="16"/>
      <c r="B124" s="36" t="s">
        <v>74</v>
      </c>
      <c r="C124" s="36" t="s">
        <v>75</v>
      </c>
      <c r="D124" s="36" t="s">
        <v>76</v>
      </c>
      <c r="E124" s="21" t="s">
        <v>280</v>
      </c>
      <c r="F124" s="36" t="s">
        <v>234</v>
      </c>
      <c r="G124" s="17" t="s">
        <v>265</v>
      </c>
    </row>
    <row r="125" spans="1:13" x14ac:dyDescent="0.25">
      <c r="A125" s="16"/>
      <c r="B125" s="36" t="s">
        <v>0</v>
      </c>
      <c r="C125" s="36" t="s">
        <v>0</v>
      </c>
      <c r="D125" s="36" t="s">
        <v>0</v>
      </c>
      <c r="E125" s="36" t="s">
        <v>0</v>
      </c>
      <c r="F125" s="36" t="s">
        <v>0</v>
      </c>
      <c r="G125" s="17" t="s">
        <v>266</v>
      </c>
      <c r="K125" s="1" t="s">
        <v>329</v>
      </c>
    </row>
    <row r="126" spans="1:13" x14ac:dyDescent="0.25">
      <c r="A126" s="5" t="s">
        <v>235</v>
      </c>
      <c r="B126" s="43">
        <v>850</v>
      </c>
      <c r="C126" s="43">
        <v>12</v>
      </c>
      <c r="D126" s="43">
        <v>400</v>
      </c>
      <c r="E126" s="43">
        <v>120</v>
      </c>
      <c r="F126" s="43">
        <v>850</v>
      </c>
      <c r="G126" s="3">
        <f>(B126*(C126*(D126^3)/12)/(0.5*D126))*(F126/B126)</f>
        <v>272000000</v>
      </c>
      <c r="I126" s="13">
        <f>B126*E126/1000000</f>
        <v>0.10199999999999999</v>
      </c>
      <c r="J126" t="s">
        <v>59</v>
      </c>
      <c r="K126" s="6" t="s">
        <v>188</v>
      </c>
      <c r="L126" s="6"/>
      <c r="M126" s="6"/>
    </row>
    <row r="127" spans="1:13" x14ac:dyDescent="0.25">
      <c r="A127" s="5" t="s">
        <v>236</v>
      </c>
      <c r="B127" s="43">
        <v>1200</v>
      </c>
      <c r="C127" s="43">
        <v>12</v>
      </c>
      <c r="D127" s="43">
        <v>220</v>
      </c>
      <c r="E127" s="43">
        <v>160</v>
      </c>
      <c r="F127" s="43">
        <v>1200</v>
      </c>
      <c r="G127" s="3">
        <f t="shared" ref="G127:G155" si="0">(B127*(C127*(D127^3)/12)/(0.5*D127))*(F127/B127)</f>
        <v>116160000</v>
      </c>
      <c r="I127" s="13">
        <f t="shared" ref="I127:I155" si="1">B127*E127/1000000</f>
        <v>0.192</v>
      </c>
      <c r="J127" t="s">
        <v>59</v>
      </c>
      <c r="K127" s="6" t="s">
        <v>165</v>
      </c>
      <c r="L127" s="6"/>
      <c r="M127" s="6"/>
    </row>
    <row r="128" spans="1:13" x14ac:dyDescent="0.25">
      <c r="A128" s="5" t="s">
        <v>237</v>
      </c>
      <c r="B128" s="43">
        <v>4200</v>
      </c>
      <c r="C128" s="43">
        <v>10</v>
      </c>
      <c r="D128" s="43">
        <v>150</v>
      </c>
      <c r="E128" s="43">
        <v>160</v>
      </c>
      <c r="F128" s="43">
        <v>4200</v>
      </c>
      <c r="G128" s="3">
        <f t="shared" si="0"/>
        <v>157500000</v>
      </c>
      <c r="I128" s="13">
        <f t="shared" si="1"/>
        <v>0.67200000000000004</v>
      </c>
      <c r="J128" t="s">
        <v>59</v>
      </c>
      <c r="K128" s="6" t="s">
        <v>189</v>
      </c>
      <c r="L128" s="6"/>
      <c r="M128" s="6"/>
    </row>
    <row r="129" spans="1:13" x14ac:dyDescent="0.25">
      <c r="A129" s="5" t="s">
        <v>238</v>
      </c>
      <c r="B129" s="43">
        <v>3700</v>
      </c>
      <c r="C129" s="43">
        <v>10</v>
      </c>
      <c r="D129" s="43">
        <v>150</v>
      </c>
      <c r="E129" s="43">
        <v>160</v>
      </c>
      <c r="F129" s="43">
        <v>3700</v>
      </c>
      <c r="G129" s="3">
        <f t="shared" si="0"/>
        <v>138750000</v>
      </c>
      <c r="I129" s="13">
        <f t="shared" si="1"/>
        <v>0.59199999999999997</v>
      </c>
      <c r="J129" t="s">
        <v>59</v>
      </c>
      <c r="K129" s="6" t="s">
        <v>190</v>
      </c>
      <c r="L129" s="6"/>
      <c r="M129" s="6"/>
    </row>
    <row r="130" spans="1:13" x14ac:dyDescent="0.25">
      <c r="A130" s="5" t="s">
        <v>239</v>
      </c>
      <c r="B130" s="43">
        <v>1500</v>
      </c>
      <c r="C130" s="43">
        <v>10</v>
      </c>
      <c r="D130" s="43">
        <v>580</v>
      </c>
      <c r="E130" s="43">
        <v>160</v>
      </c>
      <c r="F130" s="43">
        <v>1500</v>
      </c>
      <c r="G130" s="3">
        <f t="shared" si="0"/>
        <v>841000000</v>
      </c>
      <c r="I130" s="13">
        <f t="shared" si="1"/>
        <v>0.24</v>
      </c>
      <c r="J130" t="s">
        <v>59</v>
      </c>
      <c r="K130" s="6" t="s">
        <v>191</v>
      </c>
      <c r="L130" s="6"/>
      <c r="M130" s="6"/>
    </row>
    <row r="131" spans="1:13" x14ac:dyDescent="0.25">
      <c r="A131" s="5" t="s">
        <v>240</v>
      </c>
      <c r="B131" s="43">
        <v>3980</v>
      </c>
      <c r="C131" s="43">
        <v>10</v>
      </c>
      <c r="D131" s="43">
        <v>340</v>
      </c>
      <c r="E131" s="43">
        <v>60</v>
      </c>
      <c r="F131" s="43">
        <v>3980</v>
      </c>
      <c r="G131" s="3">
        <f t="shared" si="0"/>
        <v>766813333.33333325</v>
      </c>
      <c r="I131" s="13">
        <f t="shared" si="1"/>
        <v>0.23880000000000001</v>
      </c>
      <c r="J131" t="s">
        <v>59</v>
      </c>
      <c r="K131" s="6" t="s">
        <v>193</v>
      </c>
      <c r="L131" s="6"/>
      <c r="M131" s="6"/>
    </row>
    <row r="132" spans="1:13" x14ac:dyDescent="0.25">
      <c r="A132" s="5" t="s">
        <v>241</v>
      </c>
      <c r="B132" s="43">
        <v>3980</v>
      </c>
      <c r="C132" s="43">
        <v>10</v>
      </c>
      <c r="D132" s="43">
        <v>430</v>
      </c>
      <c r="E132" s="43">
        <v>60</v>
      </c>
      <c r="F132" s="43">
        <v>3980</v>
      </c>
      <c r="G132" s="3">
        <f t="shared" si="0"/>
        <v>1226503333.3333335</v>
      </c>
      <c r="I132" s="13">
        <f t="shared" si="1"/>
        <v>0.23880000000000001</v>
      </c>
      <c r="J132" t="s">
        <v>59</v>
      </c>
      <c r="K132" s="6" t="s">
        <v>194</v>
      </c>
      <c r="L132" s="6"/>
      <c r="M132" s="6"/>
    </row>
    <row r="133" spans="1:13" x14ac:dyDescent="0.25">
      <c r="A133" s="5" t="s">
        <v>242</v>
      </c>
      <c r="B133" s="43">
        <v>3980</v>
      </c>
      <c r="C133" s="43">
        <v>12</v>
      </c>
      <c r="D133" s="43">
        <v>500</v>
      </c>
      <c r="E133" s="43">
        <v>200</v>
      </c>
      <c r="F133" s="43">
        <v>3980</v>
      </c>
      <c r="G133" s="3">
        <f t="shared" si="0"/>
        <v>1990000000</v>
      </c>
      <c r="I133" s="13">
        <f t="shared" si="1"/>
        <v>0.79600000000000004</v>
      </c>
      <c r="J133" t="s">
        <v>59</v>
      </c>
      <c r="K133" s="6" t="s">
        <v>195</v>
      </c>
      <c r="L133" s="6"/>
      <c r="M133" s="6"/>
    </row>
    <row r="134" spans="1:13" x14ac:dyDescent="0.25">
      <c r="A134" s="5" t="s">
        <v>243</v>
      </c>
      <c r="B134" s="43">
        <v>3980</v>
      </c>
      <c r="C134" s="43">
        <v>16</v>
      </c>
      <c r="D134" s="43">
        <v>420</v>
      </c>
      <c r="E134" s="43">
        <v>200</v>
      </c>
      <c r="F134" s="43">
        <v>3980</v>
      </c>
      <c r="G134" s="3">
        <f t="shared" si="0"/>
        <v>1872192000</v>
      </c>
      <c r="I134" s="13">
        <f t="shared" si="1"/>
        <v>0.79600000000000004</v>
      </c>
      <c r="J134" t="s">
        <v>59</v>
      </c>
      <c r="K134" s="6" t="s">
        <v>196</v>
      </c>
      <c r="L134" s="6"/>
      <c r="M134" s="6"/>
    </row>
    <row r="135" spans="1:13" x14ac:dyDescent="0.25">
      <c r="A135" s="5" t="s">
        <v>244</v>
      </c>
      <c r="B135" s="43">
        <v>1950</v>
      </c>
      <c r="C135" s="43">
        <v>10</v>
      </c>
      <c r="D135" s="43">
        <v>230</v>
      </c>
      <c r="E135" s="43">
        <v>100</v>
      </c>
      <c r="F135" s="43">
        <v>1950</v>
      </c>
      <c r="G135" s="3">
        <f t="shared" si="0"/>
        <v>171925000</v>
      </c>
      <c r="I135" s="13">
        <f t="shared" si="1"/>
        <v>0.19500000000000001</v>
      </c>
      <c r="J135" t="s">
        <v>59</v>
      </c>
      <c r="K135" s="6" t="s">
        <v>197</v>
      </c>
      <c r="L135" s="6"/>
      <c r="M135" s="6"/>
    </row>
    <row r="136" spans="1:13" x14ac:dyDescent="0.25">
      <c r="A136" s="5" t="s">
        <v>245</v>
      </c>
      <c r="B136" s="43">
        <v>990</v>
      </c>
      <c r="C136" s="43">
        <v>10</v>
      </c>
      <c r="D136" s="43">
        <v>350</v>
      </c>
      <c r="E136" s="43">
        <v>100</v>
      </c>
      <c r="F136" s="43">
        <v>990</v>
      </c>
      <c r="G136" s="3">
        <f t="shared" si="0"/>
        <v>202125000</v>
      </c>
      <c r="I136" s="13">
        <f t="shared" si="1"/>
        <v>9.9000000000000005E-2</v>
      </c>
      <c r="J136" t="s">
        <v>59</v>
      </c>
      <c r="K136" s="6" t="s">
        <v>198</v>
      </c>
      <c r="L136" s="6"/>
      <c r="M136" s="6"/>
    </row>
    <row r="137" spans="1:13" x14ac:dyDescent="0.25">
      <c r="A137" s="5" t="s">
        <v>246</v>
      </c>
      <c r="B137" s="43">
        <v>1750</v>
      </c>
      <c r="C137" s="43">
        <v>10</v>
      </c>
      <c r="D137" s="43">
        <v>340</v>
      </c>
      <c r="E137" s="43">
        <v>100</v>
      </c>
      <c r="F137" s="43">
        <v>1750</v>
      </c>
      <c r="G137" s="3">
        <f t="shared" si="0"/>
        <v>337166666.66666663</v>
      </c>
      <c r="I137" s="13">
        <f t="shared" si="1"/>
        <v>0.17499999999999999</v>
      </c>
      <c r="J137" t="s">
        <v>59</v>
      </c>
      <c r="K137" s="6" t="s">
        <v>199</v>
      </c>
      <c r="L137" s="6"/>
      <c r="M137" s="6"/>
    </row>
    <row r="138" spans="1:13" x14ac:dyDescent="0.25">
      <c r="A138" s="5" t="s">
        <v>247</v>
      </c>
      <c r="B138" s="43">
        <v>1300</v>
      </c>
      <c r="C138" s="43">
        <v>10</v>
      </c>
      <c r="D138" s="43">
        <v>100</v>
      </c>
      <c r="E138" s="43">
        <v>100</v>
      </c>
      <c r="F138" s="43">
        <v>1300</v>
      </c>
      <c r="G138" s="3">
        <f t="shared" si="0"/>
        <v>21666666.666666672</v>
      </c>
      <c r="I138" s="13">
        <f t="shared" si="1"/>
        <v>0.13</v>
      </c>
      <c r="J138" t="s">
        <v>59</v>
      </c>
      <c r="K138" s="6" t="s">
        <v>200</v>
      </c>
      <c r="L138" s="6"/>
      <c r="M138" s="6"/>
    </row>
    <row r="139" spans="1:13" x14ac:dyDescent="0.25">
      <c r="A139" s="5" t="s">
        <v>248</v>
      </c>
      <c r="B139" s="43">
        <v>2800</v>
      </c>
      <c r="C139" s="43">
        <v>12</v>
      </c>
      <c r="D139" s="43">
        <v>220</v>
      </c>
      <c r="E139" s="43">
        <v>160</v>
      </c>
      <c r="F139" s="43">
        <v>2800</v>
      </c>
      <c r="G139" s="3">
        <f t="shared" si="0"/>
        <v>271040000</v>
      </c>
      <c r="I139" s="13">
        <f t="shared" si="1"/>
        <v>0.44800000000000001</v>
      </c>
      <c r="J139" t="s">
        <v>59</v>
      </c>
      <c r="K139" s="6" t="s">
        <v>201</v>
      </c>
      <c r="L139" s="6"/>
      <c r="M139" s="6"/>
    </row>
    <row r="140" spans="1:13" x14ac:dyDescent="0.25">
      <c r="A140" s="5" t="s">
        <v>249</v>
      </c>
      <c r="B140" s="43">
        <v>2440</v>
      </c>
      <c r="C140" s="43">
        <v>12</v>
      </c>
      <c r="D140" s="43">
        <v>1000</v>
      </c>
      <c r="E140" s="43">
        <v>160</v>
      </c>
      <c r="F140" s="43">
        <v>2440</v>
      </c>
      <c r="G140" s="3">
        <f t="shared" si="0"/>
        <v>4880000000</v>
      </c>
      <c r="I140" s="13">
        <f t="shared" si="1"/>
        <v>0.39040000000000002</v>
      </c>
      <c r="J140" t="s">
        <v>59</v>
      </c>
      <c r="K140" s="6" t="s">
        <v>202</v>
      </c>
      <c r="L140" s="6"/>
      <c r="M140" s="6"/>
    </row>
    <row r="141" spans="1:13" x14ac:dyDescent="0.25">
      <c r="A141" s="5" t="s">
        <v>250</v>
      </c>
      <c r="B141" s="43">
        <v>4200</v>
      </c>
      <c r="C141" s="43">
        <v>10</v>
      </c>
      <c r="D141" s="43">
        <v>220</v>
      </c>
      <c r="E141" s="43">
        <v>160</v>
      </c>
      <c r="F141" s="43">
        <v>4200</v>
      </c>
      <c r="G141" s="3">
        <f t="shared" si="0"/>
        <v>338800000</v>
      </c>
      <c r="I141" s="13">
        <f t="shared" si="1"/>
        <v>0.67200000000000004</v>
      </c>
      <c r="J141" t="s">
        <v>59</v>
      </c>
      <c r="K141" s="6" t="s">
        <v>203</v>
      </c>
      <c r="L141" s="6"/>
      <c r="M141" s="6"/>
    </row>
    <row r="142" spans="1:13" x14ac:dyDescent="0.25">
      <c r="A142" s="5" t="s">
        <v>251</v>
      </c>
      <c r="B142" s="43">
        <v>1250</v>
      </c>
      <c r="C142" s="43">
        <v>10</v>
      </c>
      <c r="D142" s="43">
        <v>260</v>
      </c>
      <c r="E142" s="43">
        <v>160</v>
      </c>
      <c r="F142" s="43">
        <v>1250</v>
      </c>
      <c r="G142" s="3">
        <f t="shared" si="0"/>
        <v>140833333.33333331</v>
      </c>
      <c r="I142" s="13">
        <f t="shared" si="1"/>
        <v>0.2</v>
      </c>
      <c r="J142" t="s">
        <v>59</v>
      </c>
      <c r="K142" s="6" t="s">
        <v>204</v>
      </c>
      <c r="L142" s="6"/>
      <c r="M142" s="6"/>
    </row>
    <row r="143" spans="1:13" x14ac:dyDescent="0.25">
      <c r="A143" s="5" t="s">
        <v>252</v>
      </c>
      <c r="B143" s="43">
        <v>1300</v>
      </c>
      <c r="C143" s="43">
        <v>10</v>
      </c>
      <c r="D143" s="43">
        <v>220</v>
      </c>
      <c r="E143" s="43">
        <v>160</v>
      </c>
      <c r="F143" s="43">
        <v>1300</v>
      </c>
      <c r="G143" s="3">
        <f t="shared" si="0"/>
        <v>104866666.66666667</v>
      </c>
      <c r="I143" s="13">
        <f t="shared" si="1"/>
        <v>0.20799999999999999</v>
      </c>
      <c r="J143" t="s">
        <v>59</v>
      </c>
      <c r="K143" s="6" t="s">
        <v>205</v>
      </c>
      <c r="L143" s="6"/>
      <c r="M143" s="6"/>
    </row>
    <row r="144" spans="1:13" x14ac:dyDescent="0.25">
      <c r="A144" s="5" t="s">
        <v>253</v>
      </c>
      <c r="B144" s="43">
        <v>2400</v>
      </c>
      <c r="C144" s="43">
        <v>10</v>
      </c>
      <c r="D144" s="43">
        <v>200</v>
      </c>
      <c r="E144" s="43">
        <v>160</v>
      </c>
      <c r="F144" s="43">
        <v>2400</v>
      </c>
      <c r="G144" s="3">
        <f t="shared" si="0"/>
        <v>160000000</v>
      </c>
      <c r="I144" s="13">
        <f t="shared" si="1"/>
        <v>0.38400000000000001</v>
      </c>
      <c r="J144" t="s">
        <v>59</v>
      </c>
      <c r="K144" s="6" t="s">
        <v>206</v>
      </c>
      <c r="L144" s="6"/>
      <c r="M144" s="6"/>
    </row>
    <row r="145" spans="1:13" x14ac:dyDescent="0.25">
      <c r="A145" s="5" t="s">
        <v>254</v>
      </c>
      <c r="B145" s="43">
        <v>1950</v>
      </c>
      <c r="C145" s="43">
        <v>12</v>
      </c>
      <c r="D145" s="43">
        <v>650</v>
      </c>
      <c r="E145" s="43">
        <v>160</v>
      </c>
      <c r="F145" s="43">
        <v>1950</v>
      </c>
      <c r="G145" s="3">
        <f t="shared" si="0"/>
        <v>1647750000</v>
      </c>
      <c r="I145" s="13">
        <f t="shared" si="1"/>
        <v>0.312</v>
      </c>
      <c r="J145" t="s">
        <v>59</v>
      </c>
      <c r="K145" s="6" t="s">
        <v>207</v>
      </c>
      <c r="L145" s="6"/>
      <c r="M145" s="6"/>
    </row>
    <row r="146" spans="1:13" x14ac:dyDescent="0.25">
      <c r="A146" s="5" t="s">
        <v>255</v>
      </c>
      <c r="B146" s="43">
        <v>300</v>
      </c>
      <c r="C146" s="43">
        <v>10</v>
      </c>
      <c r="D146" s="43">
        <v>400</v>
      </c>
      <c r="E146" s="43">
        <v>160</v>
      </c>
      <c r="F146" s="43">
        <v>300</v>
      </c>
      <c r="G146" s="3">
        <f t="shared" si="0"/>
        <v>80000000</v>
      </c>
      <c r="I146" s="13">
        <f t="shared" si="1"/>
        <v>4.8000000000000001E-2</v>
      </c>
      <c r="J146" t="s">
        <v>59</v>
      </c>
      <c r="K146" s="6" t="s">
        <v>208</v>
      </c>
      <c r="L146" s="6"/>
      <c r="M146" s="6"/>
    </row>
    <row r="147" spans="1:13" x14ac:dyDescent="0.25">
      <c r="A147" s="5" t="s">
        <v>256</v>
      </c>
      <c r="B147" s="43">
        <v>1600</v>
      </c>
      <c r="C147" s="43">
        <v>50</v>
      </c>
      <c r="D147" s="43">
        <v>240</v>
      </c>
      <c r="E147" s="43">
        <v>200</v>
      </c>
      <c r="F147" s="43">
        <v>1600</v>
      </c>
      <c r="G147" s="3">
        <f t="shared" si="0"/>
        <v>768000000</v>
      </c>
      <c r="I147" s="13">
        <f t="shared" si="1"/>
        <v>0.32</v>
      </c>
      <c r="J147" t="s">
        <v>59</v>
      </c>
      <c r="K147" s="6" t="s">
        <v>209</v>
      </c>
      <c r="L147" s="6"/>
      <c r="M147" s="6"/>
    </row>
    <row r="148" spans="1:13" x14ac:dyDescent="0.25">
      <c r="A148" s="5" t="s">
        <v>257</v>
      </c>
      <c r="B148" s="43">
        <v>1E-4</v>
      </c>
      <c r="C148" s="43">
        <v>1E-4</v>
      </c>
      <c r="D148" s="43">
        <v>1E-4</v>
      </c>
      <c r="E148" s="43">
        <v>1E-4</v>
      </c>
      <c r="F148" s="43">
        <v>1E-4</v>
      </c>
      <c r="G148" s="3">
        <f t="shared" si="0"/>
        <v>1.6666666666666667E-17</v>
      </c>
      <c r="I148" s="13">
        <f t="shared" si="1"/>
        <v>1E-14</v>
      </c>
      <c r="J148" t="s">
        <v>59</v>
      </c>
      <c r="K148" s="6"/>
      <c r="L148" s="6"/>
      <c r="M148" s="6"/>
    </row>
    <row r="149" spans="1:13" x14ac:dyDescent="0.25">
      <c r="A149" s="5" t="s">
        <v>258</v>
      </c>
      <c r="B149" s="43">
        <v>1.0000000000000001E-5</v>
      </c>
      <c r="C149" s="43">
        <v>1.0000000000000001E-5</v>
      </c>
      <c r="D149" s="43">
        <v>1.0000000000000001E-5</v>
      </c>
      <c r="E149" s="43">
        <v>1.0000000000000001E-5</v>
      </c>
      <c r="F149" s="43">
        <v>1.0000000000000001E-5</v>
      </c>
      <c r="G149" s="3">
        <f t="shared" si="0"/>
        <v>1.6666666666666672E-21</v>
      </c>
      <c r="I149" s="13">
        <f t="shared" si="1"/>
        <v>1.0000000000000002E-16</v>
      </c>
      <c r="J149" t="s">
        <v>59</v>
      </c>
      <c r="K149" s="6"/>
      <c r="L149" s="6"/>
      <c r="M149" s="6"/>
    </row>
    <row r="150" spans="1:13" x14ac:dyDescent="0.25">
      <c r="A150" s="5" t="s">
        <v>259</v>
      </c>
      <c r="B150" s="43">
        <v>1.0000000000000001E-5</v>
      </c>
      <c r="C150" s="43">
        <v>1.0000000000000001E-5</v>
      </c>
      <c r="D150" s="43">
        <v>1.0000000000000001E-5</v>
      </c>
      <c r="E150" s="43">
        <v>1.0000000000000001E-5</v>
      </c>
      <c r="F150" s="43">
        <v>1.0000000000000001E-5</v>
      </c>
      <c r="G150" s="3">
        <f t="shared" si="0"/>
        <v>1.6666666666666672E-21</v>
      </c>
      <c r="I150" s="13">
        <f t="shared" si="1"/>
        <v>1.0000000000000002E-16</v>
      </c>
      <c r="J150" t="s">
        <v>59</v>
      </c>
      <c r="K150" s="6"/>
      <c r="L150" s="6"/>
      <c r="M150" s="6"/>
    </row>
    <row r="151" spans="1:13" x14ac:dyDescent="0.25">
      <c r="A151" s="5" t="s">
        <v>260</v>
      </c>
      <c r="B151" s="43">
        <v>1.0000000000000001E-5</v>
      </c>
      <c r="C151" s="43">
        <v>1.0000000000000001E-5</v>
      </c>
      <c r="D151" s="43">
        <v>1.0000000000000001E-5</v>
      </c>
      <c r="E151" s="43">
        <v>1.0000000000000001E-5</v>
      </c>
      <c r="F151" s="43">
        <v>1.0000000000000001E-5</v>
      </c>
      <c r="G151" s="3">
        <f t="shared" si="0"/>
        <v>1.6666666666666672E-21</v>
      </c>
      <c r="I151" s="13">
        <f t="shared" si="1"/>
        <v>1.0000000000000002E-16</v>
      </c>
      <c r="J151" t="s">
        <v>59</v>
      </c>
      <c r="K151" s="6"/>
      <c r="L151" s="6"/>
      <c r="M151" s="6"/>
    </row>
    <row r="152" spans="1:13" x14ac:dyDescent="0.25">
      <c r="A152" s="5" t="s">
        <v>261</v>
      </c>
      <c r="B152" s="43">
        <v>1.0000000000000001E-5</v>
      </c>
      <c r="C152" s="43">
        <v>1.0000000000000001E-5</v>
      </c>
      <c r="D152" s="43">
        <v>1.0000000000000001E-5</v>
      </c>
      <c r="E152" s="43">
        <v>1.0000000000000001E-5</v>
      </c>
      <c r="F152" s="43">
        <v>1.0000000000000001E-5</v>
      </c>
      <c r="G152" s="3">
        <f t="shared" si="0"/>
        <v>1.6666666666666672E-21</v>
      </c>
      <c r="I152" s="13">
        <f t="shared" si="1"/>
        <v>1.0000000000000002E-16</v>
      </c>
      <c r="J152" t="s">
        <v>59</v>
      </c>
      <c r="K152" s="6"/>
      <c r="L152" s="6"/>
      <c r="M152" s="6"/>
    </row>
    <row r="153" spans="1:13" x14ac:dyDescent="0.25">
      <c r="A153" s="5" t="s">
        <v>262</v>
      </c>
      <c r="B153" s="43">
        <v>1.0000000000000001E-5</v>
      </c>
      <c r="C153" s="43">
        <v>1.0000000000000001E-5</v>
      </c>
      <c r="D153" s="43">
        <v>1.0000000000000001E-5</v>
      </c>
      <c r="E153" s="43">
        <v>1.0000000000000001E-5</v>
      </c>
      <c r="F153" s="43">
        <v>1.0000000000000001E-5</v>
      </c>
      <c r="G153" s="3">
        <f t="shared" si="0"/>
        <v>1.6666666666666672E-21</v>
      </c>
      <c r="I153" s="13">
        <f t="shared" si="1"/>
        <v>1.0000000000000002E-16</v>
      </c>
      <c r="J153" t="s">
        <v>59</v>
      </c>
      <c r="K153" s="6"/>
      <c r="L153" s="6"/>
      <c r="M153" s="6"/>
    </row>
    <row r="154" spans="1:13" x14ac:dyDescent="0.25">
      <c r="A154" s="5" t="s">
        <v>263</v>
      </c>
      <c r="B154" s="43">
        <v>1.0000000000000001E-5</v>
      </c>
      <c r="C154" s="43">
        <v>1.0000000000000001E-5</v>
      </c>
      <c r="D154" s="43">
        <v>1.0000000000000001E-5</v>
      </c>
      <c r="E154" s="43">
        <v>1.0000000000000001E-5</v>
      </c>
      <c r="F154" s="43">
        <v>1.0000000000000001E-5</v>
      </c>
      <c r="G154" s="3">
        <f t="shared" si="0"/>
        <v>1.6666666666666672E-21</v>
      </c>
      <c r="I154" s="13">
        <f t="shared" si="1"/>
        <v>1.0000000000000002E-16</v>
      </c>
      <c r="J154" t="s">
        <v>59</v>
      </c>
      <c r="K154" s="6"/>
      <c r="L154" s="6"/>
      <c r="M154" s="6"/>
    </row>
    <row r="155" spans="1:13" x14ac:dyDescent="0.25">
      <c r="A155" s="5" t="s">
        <v>264</v>
      </c>
      <c r="B155" s="43">
        <v>1.0000000000000001E-5</v>
      </c>
      <c r="C155" s="43">
        <v>1.0000000000000001E-5</v>
      </c>
      <c r="D155" s="43">
        <v>1.0000000000000001E-5</v>
      </c>
      <c r="E155" s="43">
        <v>1.0000000000000001E-5</v>
      </c>
      <c r="F155" s="43">
        <v>1.0000000000000001E-5</v>
      </c>
      <c r="G155" s="3">
        <f t="shared" si="0"/>
        <v>1.6666666666666672E-21</v>
      </c>
      <c r="I155" s="13">
        <f t="shared" si="1"/>
        <v>1.0000000000000002E-16</v>
      </c>
      <c r="J155" t="s">
        <v>59</v>
      </c>
      <c r="K155" s="6"/>
      <c r="L155" s="6"/>
      <c r="M155" s="6"/>
    </row>
    <row r="156" spans="1:13" x14ac:dyDescent="0.25">
      <c r="A156" s="5"/>
      <c r="B156" s="34"/>
      <c r="C156" s="34"/>
      <c r="D156" s="34"/>
      <c r="E156" s="34"/>
      <c r="F156" s="34"/>
      <c r="G156" s="3"/>
      <c r="H156" s="3"/>
      <c r="I156" s="13"/>
    </row>
    <row r="157" spans="1:13" x14ac:dyDescent="0.25">
      <c r="A157" s="5"/>
      <c r="B157" s="36"/>
      <c r="C157" s="36"/>
      <c r="D157" s="36"/>
      <c r="E157" s="21" t="s">
        <v>97</v>
      </c>
      <c r="F157" s="34"/>
      <c r="G157" s="3"/>
      <c r="I157" s="13"/>
    </row>
    <row r="158" spans="1:13" x14ac:dyDescent="0.25">
      <c r="A158" s="5"/>
      <c r="B158" s="36"/>
      <c r="C158" s="36"/>
      <c r="D158" s="36"/>
      <c r="E158" s="21" t="s">
        <v>75</v>
      </c>
      <c r="F158" s="34"/>
      <c r="G158" s="3"/>
      <c r="I158" s="13"/>
    </row>
    <row r="159" spans="1:13" x14ac:dyDescent="0.25">
      <c r="A159" s="5"/>
      <c r="B159" s="36"/>
      <c r="C159" s="36"/>
      <c r="D159" s="36"/>
      <c r="E159" s="21" t="s">
        <v>279</v>
      </c>
      <c r="F159" s="34"/>
      <c r="G159" s="3"/>
      <c r="I159" s="13"/>
    </row>
    <row r="160" spans="1:13" x14ac:dyDescent="0.25">
      <c r="A160" s="5"/>
      <c r="B160" s="36" t="s">
        <v>74</v>
      </c>
      <c r="C160" s="36" t="s">
        <v>75</v>
      </c>
      <c r="D160" s="36" t="s">
        <v>76</v>
      </c>
      <c r="E160" s="21" t="s">
        <v>280</v>
      </c>
      <c r="F160" s="34"/>
      <c r="G160" s="3"/>
      <c r="I160" s="13"/>
    </row>
    <row r="161" spans="1:12" x14ac:dyDescent="0.25">
      <c r="A161" s="5"/>
      <c r="B161" s="36" t="s">
        <v>0</v>
      </c>
      <c r="C161" s="36" t="s">
        <v>0</v>
      </c>
      <c r="D161" s="36" t="s">
        <v>0</v>
      </c>
      <c r="E161" s="36" t="s">
        <v>0</v>
      </c>
      <c r="F161" s="34"/>
      <c r="G161" s="3"/>
      <c r="I161" s="13"/>
    </row>
    <row r="162" spans="1:12" x14ac:dyDescent="0.25">
      <c r="A162" s="5" t="s">
        <v>268</v>
      </c>
      <c r="B162" s="43">
        <v>1850</v>
      </c>
      <c r="C162" s="43">
        <v>280</v>
      </c>
      <c r="D162" s="43">
        <v>75</v>
      </c>
      <c r="E162" s="43">
        <v>200</v>
      </c>
      <c r="F162" s="6" t="s">
        <v>192</v>
      </c>
      <c r="G162" s="6" t="s">
        <v>192</v>
      </c>
      <c r="H162" s="6" t="s">
        <v>192</v>
      </c>
      <c r="I162" s="6" t="s">
        <v>192</v>
      </c>
      <c r="J162" s="6"/>
      <c r="K162" s="6"/>
      <c r="L162" s="6"/>
    </row>
    <row r="163" spans="1:12" x14ac:dyDescent="0.25">
      <c r="A163" s="5" t="s">
        <v>269</v>
      </c>
      <c r="B163" s="43">
        <v>1.0000000000000001E-5</v>
      </c>
      <c r="C163" s="43">
        <v>1.0000000000000001E-5</v>
      </c>
      <c r="D163" s="43">
        <v>1.0000000000000001E-5</v>
      </c>
      <c r="E163" s="43">
        <v>0</v>
      </c>
      <c r="F163" s="43"/>
      <c r="G163" s="43"/>
      <c r="H163" s="43"/>
      <c r="I163" s="43"/>
      <c r="J163" s="43"/>
      <c r="K163" s="43"/>
      <c r="L163" s="43"/>
    </row>
    <row r="164" spans="1:12" x14ac:dyDescent="0.25">
      <c r="A164" s="5" t="s">
        <v>270</v>
      </c>
      <c r="B164" s="43">
        <v>1.0000000000000001E-5</v>
      </c>
      <c r="C164" s="43">
        <v>1.0000000000000001E-5</v>
      </c>
      <c r="D164" s="43">
        <v>1.0000000000000001E-5</v>
      </c>
      <c r="E164" s="43">
        <v>1.0000000000000001E-5</v>
      </c>
      <c r="F164" s="43"/>
      <c r="G164" s="43"/>
      <c r="H164" s="43"/>
      <c r="I164" s="43"/>
      <c r="J164" s="43"/>
      <c r="K164" s="43"/>
      <c r="L164" s="43"/>
    </row>
    <row r="165" spans="1:12" x14ac:dyDescent="0.25">
      <c r="A165" s="5" t="s">
        <v>271</v>
      </c>
      <c r="B165" s="43">
        <v>1.0000000000000001E-5</v>
      </c>
      <c r="C165" s="43">
        <v>1.0000000000000001E-5</v>
      </c>
      <c r="D165" s="43">
        <v>1.0000000000000001E-5</v>
      </c>
      <c r="E165" s="43">
        <v>1.0000000000000001E-5</v>
      </c>
      <c r="F165" s="43"/>
      <c r="G165" s="43"/>
      <c r="H165" s="43"/>
      <c r="I165" s="43"/>
      <c r="J165" s="43"/>
      <c r="K165" s="43"/>
      <c r="L165" s="43"/>
    </row>
    <row r="166" spans="1:12" x14ac:dyDescent="0.25">
      <c r="A166" s="5" t="s">
        <v>272</v>
      </c>
      <c r="B166" s="43">
        <v>1.0000000000000001E-5</v>
      </c>
      <c r="C166" s="43">
        <v>1.0000000000000001E-5</v>
      </c>
      <c r="D166" s="43">
        <v>1.0000000000000001E-5</v>
      </c>
      <c r="E166" s="43">
        <v>1.0000000000000001E-5</v>
      </c>
      <c r="F166" s="43"/>
      <c r="G166" s="43"/>
      <c r="H166" s="43"/>
      <c r="I166" s="43"/>
      <c r="J166" s="43"/>
      <c r="K166" s="43"/>
      <c r="L166" s="43"/>
    </row>
    <row r="167" spans="1:12" x14ac:dyDescent="0.25">
      <c r="A167" s="5" t="s">
        <v>273</v>
      </c>
      <c r="B167" s="43">
        <v>1.0000000000000001E-5</v>
      </c>
      <c r="C167" s="43">
        <v>1.0000000000000001E-5</v>
      </c>
      <c r="D167" s="43">
        <v>1.0000000000000001E-5</v>
      </c>
      <c r="E167" s="43">
        <v>1.0000000000000001E-5</v>
      </c>
      <c r="F167" s="43"/>
      <c r="G167" s="43"/>
      <c r="H167" s="43"/>
      <c r="I167" s="43"/>
      <c r="J167" s="43"/>
      <c r="K167" s="43"/>
      <c r="L167" s="43"/>
    </row>
    <row r="168" spans="1:12" x14ac:dyDescent="0.25">
      <c r="A168" s="5" t="s">
        <v>274</v>
      </c>
      <c r="B168" s="43">
        <v>1.0000000000000001E-5</v>
      </c>
      <c r="C168" s="43">
        <v>1.0000000000000001E-5</v>
      </c>
      <c r="D168" s="43">
        <v>1.0000000000000001E-5</v>
      </c>
      <c r="E168" s="43">
        <v>1.0000000000000001E-5</v>
      </c>
      <c r="F168" s="43"/>
      <c r="G168" s="43"/>
      <c r="H168" s="43"/>
      <c r="I168" s="43"/>
      <c r="J168" s="43"/>
      <c r="K168" s="43"/>
      <c r="L168" s="43"/>
    </row>
    <row r="169" spans="1:12" x14ac:dyDescent="0.25">
      <c r="A169" s="5" t="s">
        <v>275</v>
      </c>
      <c r="B169" s="43">
        <v>1.0000000000000001E-5</v>
      </c>
      <c r="C169" s="43">
        <v>1.0000000000000001E-5</v>
      </c>
      <c r="D169" s="43">
        <v>1.0000000000000001E-5</v>
      </c>
      <c r="E169" s="43">
        <v>1.0000000000000001E-5</v>
      </c>
      <c r="F169" s="43"/>
      <c r="G169" s="43"/>
      <c r="H169" s="43"/>
      <c r="I169" s="43"/>
      <c r="J169" s="43"/>
      <c r="K169" s="43"/>
      <c r="L169" s="43"/>
    </row>
    <row r="170" spans="1:12" x14ac:dyDescent="0.25">
      <c r="A170" s="5" t="s">
        <v>276</v>
      </c>
      <c r="B170" s="43">
        <v>1.0000000000000001E-5</v>
      </c>
      <c r="C170" s="43">
        <v>1.0000000000000001E-5</v>
      </c>
      <c r="D170" s="43">
        <v>1.0000000000000001E-5</v>
      </c>
      <c r="E170" s="43">
        <v>1.0000000000000001E-5</v>
      </c>
      <c r="F170" s="43"/>
      <c r="G170" s="43"/>
      <c r="H170" s="43"/>
      <c r="I170" s="43"/>
      <c r="J170" s="43"/>
      <c r="K170" s="43"/>
      <c r="L170" s="43"/>
    </row>
    <row r="171" spans="1:12" x14ac:dyDescent="0.25">
      <c r="A171" s="5" t="s">
        <v>277</v>
      </c>
      <c r="B171" s="43">
        <v>1.0000000000000001E-5</v>
      </c>
      <c r="C171" s="43">
        <v>1.0000000000000001E-5</v>
      </c>
      <c r="D171" s="43">
        <v>1.0000000000000001E-5</v>
      </c>
      <c r="E171" s="43">
        <v>1.0000000000000001E-5</v>
      </c>
      <c r="F171" s="6"/>
      <c r="G171" s="6"/>
      <c r="H171" s="6"/>
      <c r="I171" s="6"/>
      <c r="J171" s="6"/>
      <c r="K171" s="6"/>
      <c r="L171" s="6"/>
    </row>
    <row r="172" spans="1:12" x14ac:dyDescent="0.25">
      <c r="A172" s="5"/>
      <c r="G172" s="30"/>
    </row>
    <row r="173" spans="1:12" x14ac:dyDescent="0.25">
      <c r="A173" s="23" t="s">
        <v>225</v>
      </c>
      <c r="B173" s="1"/>
      <c r="C173" s="1"/>
      <c r="D173" s="1"/>
      <c r="E173" s="1"/>
      <c r="F173" s="32">
        <f>SUM(G64:G171)</f>
        <v>16505092000</v>
      </c>
      <c r="G173" s="32"/>
      <c r="H173" s="1"/>
      <c r="I173" s="1"/>
      <c r="J173" s="1"/>
    </row>
    <row r="174" spans="1:12" x14ac:dyDescent="0.25">
      <c r="A174" s="23" t="s">
        <v>352</v>
      </c>
      <c r="B174" s="1"/>
      <c r="C174" s="1"/>
      <c r="D174" s="1"/>
      <c r="E174" s="1"/>
      <c r="F174" s="19">
        <f>SUM(I126:I171)</f>
        <v>7.4490000000000114</v>
      </c>
      <c r="G174" s="19"/>
      <c r="H174" s="19"/>
      <c r="I174" s="19"/>
      <c r="J174" s="1"/>
    </row>
    <row r="175" spans="1:12" x14ac:dyDescent="0.25">
      <c r="A175" s="5"/>
    </row>
    <row r="176" spans="1:12" x14ac:dyDescent="0.25">
      <c r="A176" s="5"/>
    </row>
    <row r="177" spans="1:12" x14ac:dyDescent="0.25">
      <c r="A177" s="5"/>
    </row>
    <row r="178" spans="1:12" x14ac:dyDescent="0.25">
      <c r="A178" s="15" t="s">
        <v>73</v>
      </c>
      <c r="B178" s="37" t="s">
        <v>286</v>
      </c>
      <c r="C178" s="37" t="s">
        <v>287</v>
      </c>
      <c r="D178" s="37" t="s">
        <v>288</v>
      </c>
      <c r="E178" s="37" t="s">
        <v>290</v>
      </c>
      <c r="F178" s="37"/>
    </row>
    <row r="179" spans="1:12" x14ac:dyDescent="0.25">
      <c r="A179" s="5"/>
      <c r="B179" s="21"/>
      <c r="C179" s="21"/>
      <c r="D179" s="21" t="s">
        <v>97</v>
      </c>
      <c r="E179" s="21" t="s">
        <v>234</v>
      </c>
    </row>
    <row r="180" spans="1:12" x14ac:dyDescent="0.25">
      <c r="A180" s="5"/>
      <c r="B180" s="21"/>
      <c r="C180" s="21" t="s">
        <v>95</v>
      </c>
      <c r="D180" s="21" t="s">
        <v>75</v>
      </c>
      <c r="E180" s="21" t="s">
        <v>284</v>
      </c>
    </row>
    <row r="181" spans="1:12" x14ac:dyDescent="0.25">
      <c r="A181" s="5"/>
      <c r="B181" s="21" t="s">
        <v>94</v>
      </c>
      <c r="C181" s="21" t="s">
        <v>96</v>
      </c>
      <c r="D181" s="21" t="s">
        <v>281</v>
      </c>
      <c r="E181" s="21" t="s">
        <v>285</v>
      </c>
    </row>
    <row r="182" spans="1:12" x14ac:dyDescent="0.25">
      <c r="A182" s="5"/>
      <c r="B182" s="21" t="s">
        <v>283</v>
      </c>
      <c r="C182" s="21" t="s">
        <v>282</v>
      </c>
      <c r="D182" s="21" t="s">
        <v>280</v>
      </c>
      <c r="E182" s="21" t="s">
        <v>282</v>
      </c>
    </row>
    <row r="183" spans="1:12" x14ac:dyDescent="0.25">
      <c r="A183" s="5"/>
      <c r="B183" s="21" t="s">
        <v>0</v>
      </c>
      <c r="C183" s="21" t="s">
        <v>0</v>
      </c>
      <c r="D183" s="21" t="s">
        <v>0</v>
      </c>
      <c r="E183" s="21" t="s">
        <v>0</v>
      </c>
      <c r="F183" s="1" t="s">
        <v>329</v>
      </c>
    </row>
    <row r="184" spans="1:12" x14ac:dyDescent="0.25">
      <c r="A184" s="5" t="s">
        <v>79</v>
      </c>
      <c r="B184" s="43">
        <v>12</v>
      </c>
      <c r="C184" s="43">
        <v>3900</v>
      </c>
      <c r="D184" s="43">
        <v>220</v>
      </c>
      <c r="E184" s="43">
        <v>3900</v>
      </c>
      <c r="F184" s="6" t="s">
        <v>164</v>
      </c>
      <c r="G184" s="52"/>
      <c r="H184" s="52"/>
      <c r="I184" s="53">
        <f>(C184*D184/1000000)*(E184/C184)</f>
        <v>0.85799999999999998</v>
      </c>
      <c r="J184" s="52" t="s">
        <v>59</v>
      </c>
      <c r="K184" s="6"/>
      <c r="L184" s="6"/>
    </row>
    <row r="185" spans="1:12" x14ac:dyDescent="0.25">
      <c r="A185" s="5" t="s">
        <v>80</v>
      </c>
      <c r="B185" s="43">
        <v>12</v>
      </c>
      <c r="C185" s="43">
        <v>180</v>
      </c>
      <c r="D185" s="43">
        <v>140</v>
      </c>
      <c r="E185" s="43">
        <v>180</v>
      </c>
      <c r="F185" s="6" t="s">
        <v>165</v>
      </c>
      <c r="G185" s="52"/>
      <c r="H185" s="52"/>
      <c r="I185" s="53">
        <f t="shared" ref="I185:I203" si="2">(C185*D185/1000000)*(E185/C185)</f>
        <v>2.52E-2</v>
      </c>
      <c r="J185" s="52" t="s">
        <v>59</v>
      </c>
      <c r="K185" s="6"/>
      <c r="L185" s="6"/>
    </row>
    <row r="186" spans="1:12" x14ac:dyDescent="0.25">
      <c r="A186" s="5" t="s">
        <v>81</v>
      </c>
      <c r="B186" s="43">
        <v>15</v>
      </c>
      <c r="C186" s="43">
        <v>6500</v>
      </c>
      <c r="D186" s="43">
        <v>120</v>
      </c>
      <c r="E186" s="43">
        <v>6500</v>
      </c>
      <c r="F186" s="6" t="s">
        <v>173</v>
      </c>
      <c r="G186" s="52"/>
      <c r="H186" s="52"/>
      <c r="I186" s="53">
        <f t="shared" si="2"/>
        <v>0.78</v>
      </c>
      <c r="J186" s="52" t="s">
        <v>59</v>
      </c>
      <c r="K186" s="6"/>
      <c r="L186" s="6"/>
    </row>
    <row r="187" spans="1:12" x14ac:dyDescent="0.25">
      <c r="A187" s="5" t="s">
        <v>82</v>
      </c>
      <c r="B187" s="43">
        <v>10</v>
      </c>
      <c r="C187" s="43">
        <v>1500</v>
      </c>
      <c r="D187" s="43">
        <v>120</v>
      </c>
      <c r="E187" s="43">
        <v>1500</v>
      </c>
      <c r="F187" s="6" t="s">
        <v>174</v>
      </c>
      <c r="G187" s="52"/>
      <c r="H187" s="52"/>
      <c r="I187" s="53">
        <f t="shared" si="2"/>
        <v>0.18</v>
      </c>
      <c r="J187" s="52" t="s">
        <v>59</v>
      </c>
      <c r="K187" s="6"/>
      <c r="L187" s="6"/>
    </row>
    <row r="188" spans="1:12" x14ac:dyDescent="0.25">
      <c r="A188" s="5" t="s">
        <v>83</v>
      </c>
      <c r="B188" s="43">
        <v>16</v>
      </c>
      <c r="C188" s="43">
        <v>7700</v>
      </c>
      <c r="D188" s="43">
        <v>100</v>
      </c>
      <c r="E188" s="43">
        <v>7700</v>
      </c>
      <c r="F188" s="6" t="s">
        <v>175</v>
      </c>
      <c r="G188" s="52"/>
      <c r="H188" s="52"/>
      <c r="I188" s="53">
        <f t="shared" si="2"/>
        <v>0.77</v>
      </c>
      <c r="J188" s="52" t="s">
        <v>59</v>
      </c>
      <c r="K188" s="6"/>
      <c r="L188" s="6"/>
    </row>
    <row r="189" spans="1:12" x14ac:dyDescent="0.25">
      <c r="A189" s="5" t="s">
        <v>84</v>
      </c>
      <c r="B189" s="43">
        <v>44</v>
      </c>
      <c r="C189" s="43">
        <v>1400</v>
      </c>
      <c r="D189" s="43">
        <v>250</v>
      </c>
      <c r="E189" s="43">
        <v>1400</v>
      </c>
      <c r="F189" s="6" t="s">
        <v>176</v>
      </c>
      <c r="G189" s="52"/>
      <c r="H189" s="52"/>
      <c r="I189" s="53">
        <f t="shared" si="2"/>
        <v>0.35</v>
      </c>
      <c r="J189" s="52" t="s">
        <v>59</v>
      </c>
      <c r="K189" s="6"/>
      <c r="L189" s="6"/>
    </row>
    <row r="190" spans="1:12" x14ac:dyDescent="0.25">
      <c r="A190" s="5" t="s">
        <v>85</v>
      </c>
      <c r="B190" s="43">
        <v>12</v>
      </c>
      <c r="C190" s="43">
        <v>2000</v>
      </c>
      <c r="D190" s="43">
        <v>120</v>
      </c>
      <c r="E190" s="43">
        <v>2000</v>
      </c>
      <c r="F190" s="6" t="s">
        <v>177</v>
      </c>
      <c r="G190" s="52"/>
      <c r="H190" s="52"/>
      <c r="I190" s="53">
        <f t="shared" si="2"/>
        <v>0.24</v>
      </c>
      <c r="J190" s="52" t="s">
        <v>59</v>
      </c>
      <c r="K190" s="6"/>
      <c r="L190" s="6"/>
    </row>
    <row r="191" spans="1:12" x14ac:dyDescent="0.25">
      <c r="A191" s="5" t="s">
        <v>86</v>
      </c>
      <c r="B191" s="43">
        <v>10</v>
      </c>
      <c r="C191" s="43">
        <v>130</v>
      </c>
      <c r="D191" s="43">
        <v>100</v>
      </c>
      <c r="E191" s="43">
        <v>130</v>
      </c>
      <c r="F191" s="6" t="s">
        <v>178</v>
      </c>
      <c r="G191" s="52"/>
      <c r="H191" s="52"/>
      <c r="I191" s="53">
        <f t="shared" si="2"/>
        <v>1.2999999999999999E-2</v>
      </c>
      <c r="J191" s="52" t="s">
        <v>59</v>
      </c>
      <c r="K191" s="6"/>
      <c r="L191" s="6"/>
    </row>
    <row r="192" spans="1:12" x14ac:dyDescent="0.25">
      <c r="A192" s="5" t="s">
        <v>87</v>
      </c>
      <c r="B192" s="43">
        <v>10</v>
      </c>
      <c r="C192" s="43">
        <v>4200</v>
      </c>
      <c r="D192" s="43">
        <v>220</v>
      </c>
      <c r="E192" s="43">
        <v>4200</v>
      </c>
      <c r="F192" s="6" t="s">
        <v>179</v>
      </c>
      <c r="G192" s="52"/>
      <c r="H192" s="52"/>
      <c r="I192" s="53">
        <f t="shared" si="2"/>
        <v>0.92400000000000004</v>
      </c>
      <c r="J192" s="52" t="s">
        <v>59</v>
      </c>
      <c r="K192" s="6"/>
      <c r="L192" s="6"/>
    </row>
    <row r="193" spans="1:12" x14ac:dyDescent="0.25">
      <c r="A193" s="5" t="s">
        <v>88</v>
      </c>
      <c r="B193" s="43">
        <v>10</v>
      </c>
      <c r="C193" s="43">
        <v>3400</v>
      </c>
      <c r="D193" s="43">
        <v>120</v>
      </c>
      <c r="E193" s="43">
        <v>3400</v>
      </c>
      <c r="F193" s="6" t="s">
        <v>180</v>
      </c>
      <c r="G193" s="52"/>
      <c r="H193" s="52"/>
      <c r="I193" s="53">
        <f t="shared" si="2"/>
        <v>0.40799999999999997</v>
      </c>
      <c r="J193" s="52" t="s">
        <v>59</v>
      </c>
      <c r="K193" s="6"/>
      <c r="L193" s="6"/>
    </row>
    <row r="194" spans="1:12" x14ac:dyDescent="0.25">
      <c r="A194" s="5" t="s">
        <v>89</v>
      </c>
      <c r="B194" s="43">
        <v>10</v>
      </c>
      <c r="C194" s="43">
        <v>1000</v>
      </c>
      <c r="D194" s="43">
        <v>80</v>
      </c>
      <c r="E194" s="43">
        <v>1000</v>
      </c>
      <c r="F194" s="6" t="s">
        <v>181</v>
      </c>
      <c r="G194" s="52"/>
      <c r="H194" s="52"/>
      <c r="I194" s="53">
        <f t="shared" si="2"/>
        <v>0.08</v>
      </c>
      <c r="J194" s="52" t="s">
        <v>59</v>
      </c>
      <c r="K194" s="6"/>
      <c r="L194" s="6"/>
    </row>
    <row r="195" spans="1:12" x14ac:dyDescent="0.25">
      <c r="A195" s="5" t="s">
        <v>90</v>
      </c>
      <c r="B195" s="43">
        <v>10</v>
      </c>
      <c r="C195" s="43">
        <v>900</v>
      </c>
      <c r="D195" s="43">
        <v>140</v>
      </c>
      <c r="E195" s="43">
        <v>900</v>
      </c>
      <c r="F195" s="6" t="s">
        <v>182</v>
      </c>
      <c r="G195" s="52"/>
      <c r="H195" s="52"/>
      <c r="I195" s="53">
        <f t="shared" si="2"/>
        <v>0.126</v>
      </c>
      <c r="J195" s="52" t="s">
        <v>59</v>
      </c>
      <c r="K195" s="6"/>
      <c r="L195" s="6"/>
    </row>
    <row r="196" spans="1:12" x14ac:dyDescent="0.25">
      <c r="A196" s="5" t="s">
        <v>91</v>
      </c>
      <c r="B196" s="43">
        <v>15</v>
      </c>
      <c r="C196" s="43">
        <v>7300</v>
      </c>
      <c r="D196" s="43">
        <v>120</v>
      </c>
      <c r="E196" s="43">
        <v>7300</v>
      </c>
      <c r="F196" s="6" t="s">
        <v>183</v>
      </c>
      <c r="G196" s="52"/>
      <c r="H196" s="52"/>
      <c r="I196" s="53">
        <f t="shared" si="2"/>
        <v>0.876</v>
      </c>
      <c r="J196" s="52" t="s">
        <v>59</v>
      </c>
      <c r="K196" s="6"/>
      <c r="L196" s="6"/>
    </row>
    <row r="197" spans="1:12" x14ac:dyDescent="0.25">
      <c r="A197" s="5" t="s">
        <v>92</v>
      </c>
      <c r="B197" s="43">
        <v>10</v>
      </c>
      <c r="C197" s="43">
        <v>2800</v>
      </c>
      <c r="D197" s="43">
        <v>120</v>
      </c>
      <c r="E197" s="43">
        <v>2800</v>
      </c>
      <c r="F197" s="6" t="s">
        <v>184</v>
      </c>
      <c r="G197" s="52"/>
      <c r="H197" s="52"/>
      <c r="I197" s="53">
        <f t="shared" si="2"/>
        <v>0.33600000000000002</v>
      </c>
      <c r="J197" s="52" t="s">
        <v>59</v>
      </c>
      <c r="K197" s="6"/>
      <c r="L197" s="6"/>
    </row>
    <row r="198" spans="1:12" x14ac:dyDescent="0.25">
      <c r="A198" s="5" t="s">
        <v>93</v>
      </c>
      <c r="B198" s="43">
        <v>10</v>
      </c>
      <c r="C198" s="43">
        <v>1800</v>
      </c>
      <c r="D198" s="43">
        <v>120</v>
      </c>
      <c r="E198" s="43">
        <v>1800</v>
      </c>
      <c r="F198" s="6" t="s">
        <v>185</v>
      </c>
      <c r="G198" s="52"/>
      <c r="H198" s="52"/>
      <c r="I198" s="53">
        <f t="shared" si="2"/>
        <v>0.216</v>
      </c>
      <c r="J198" s="52" t="s">
        <v>59</v>
      </c>
      <c r="K198" s="6"/>
      <c r="L198" s="6"/>
    </row>
    <row r="199" spans="1:12" x14ac:dyDescent="0.25">
      <c r="A199" s="5" t="s">
        <v>186</v>
      </c>
      <c r="B199" s="43">
        <v>10</v>
      </c>
      <c r="C199" s="43">
        <v>14900</v>
      </c>
      <c r="D199" s="43">
        <v>120</v>
      </c>
      <c r="E199" s="43">
        <v>14900</v>
      </c>
      <c r="F199" s="6" t="s">
        <v>187</v>
      </c>
      <c r="G199" s="52"/>
      <c r="H199" s="52"/>
      <c r="I199" s="53">
        <f t="shared" si="2"/>
        <v>1.788</v>
      </c>
      <c r="J199" s="52" t="s">
        <v>59</v>
      </c>
      <c r="K199" s="6"/>
      <c r="L199" s="6"/>
    </row>
    <row r="200" spans="1:12" x14ac:dyDescent="0.25">
      <c r="A200" s="5" t="s">
        <v>298</v>
      </c>
      <c r="B200" s="43">
        <v>1E-4</v>
      </c>
      <c r="C200" s="43">
        <v>1E-4</v>
      </c>
      <c r="D200" s="43">
        <v>1E-4</v>
      </c>
      <c r="E200" s="43">
        <v>1E-4</v>
      </c>
      <c r="F200" s="6"/>
      <c r="G200" s="52"/>
      <c r="H200" s="52"/>
      <c r="I200" s="53">
        <f t="shared" si="2"/>
        <v>1E-14</v>
      </c>
      <c r="J200" s="52" t="s">
        <v>59</v>
      </c>
      <c r="K200" s="6"/>
      <c r="L200" s="6"/>
    </row>
    <row r="201" spans="1:12" x14ac:dyDescent="0.25">
      <c r="A201" s="5" t="s">
        <v>299</v>
      </c>
      <c r="B201" s="43">
        <v>1E-4</v>
      </c>
      <c r="C201" s="43">
        <v>1E-4</v>
      </c>
      <c r="D201" s="43">
        <v>1E-4</v>
      </c>
      <c r="E201" s="43">
        <v>1E-4</v>
      </c>
      <c r="F201" s="6"/>
      <c r="G201" s="52"/>
      <c r="H201" s="52"/>
      <c r="I201" s="53">
        <f t="shared" si="2"/>
        <v>1E-14</v>
      </c>
      <c r="J201" s="52" t="s">
        <v>59</v>
      </c>
      <c r="K201" s="6"/>
      <c r="L201" s="6"/>
    </row>
    <row r="202" spans="1:12" x14ac:dyDescent="0.25">
      <c r="A202" s="5" t="s">
        <v>300</v>
      </c>
      <c r="B202" s="43">
        <v>1E-4</v>
      </c>
      <c r="C202" s="43">
        <v>1E-4</v>
      </c>
      <c r="D202" s="43">
        <v>1E-4</v>
      </c>
      <c r="E202" s="43">
        <v>1E-4</v>
      </c>
      <c r="F202" s="6"/>
      <c r="G202" s="52"/>
      <c r="H202" s="52"/>
      <c r="I202" s="53">
        <f t="shared" si="2"/>
        <v>1E-14</v>
      </c>
      <c r="J202" s="52" t="s">
        <v>59</v>
      </c>
      <c r="K202" s="6"/>
      <c r="L202" s="6"/>
    </row>
    <row r="203" spans="1:12" x14ac:dyDescent="0.25">
      <c r="A203" s="5" t="s">
        <v>301</v>
      </c>
      <c r="B203" s="43">
        <v>1E-4</v>
      </c>
      <c r="C203" s="43">
        <v>1E-4</v>
      </c>
      <c r="D203" s="43">
        <v>1E-4</v>
      </c>
      <c r="E203" s="43">
        <v>1E-4</v>
      </c>
      <c r="F203" s="6"/>
      <c r="G203" s="52"/>
      <c r="H203" s="52"/>
      <c r="I203" s="53">
        <f t="shared" si="2"/>
        <v>1E-14</v>
      </c>
      <c r="J203" s="52" t="s">
        <v>59</v>
      </c>
      <c r="K203" s="6"/>
      <c r="L203" s="6"/>
    </row>
    <row r="204" spans="1:12" x14ac:dyDescent="0.25">
      <c r="A204" s="5"/>
    </row>
    <row r="205" spans="1:12" x14ac:dyDescent="0.25">
      <c r="A205" s="23" t="s">
        <v>56</v>
      </c>
      <c r="B205" s="20">
        <f>SUM(B184:B203)</f>
        <v>216.00040000000001</v>
      </c>
      <c r="C205" s="1"/>
      <c r="D205" s="1"/>
      <c r="E205" s="1"/>
      <c r="F205" s="1"/>
      <c r="G205" s="1"/>
    </row>
    <row r="206" spans="1:12" x14ac:dyDescent="0.25">
      <c r="A206" s="23" t="s">
        <v>98</v>
      </c>
      <c r="B206" s="1"/>
      <c r="C206" s="1">
        <f>SUM(C184:C203)/1000</f>
        <v>59.61000039999999</v>
      </c>
      <c r="D206" s="1" t="s">
        <v>10</v>
      </c>
      <c r="E206" s="1"/>
      <c r="F206" s="1"/>
      <c r="G206" s="1"/>
    </row>
    <row r="207" spans="1:12" x14ac:dyDescent="0.25">
      <c r="A207" s="23" t="s">
        <v>353</v>
      </c>
      <c r="B207" s="1"/>
      <c r="C207" s="1"/>
      <c r="D207" s="1"/>
      <c r="E207" s="19"/>
      <c r="F207" s="19">
        <f>SUM(I184:I203)</f>
        <v>7.970200000000041</v>
      </c>
      <c r="G207" s="19"/>
      <c r="H207" s="19"/>
      <c r="I207" s="19"/>
      <c r="J207" s="1"/>
    </row>
    <row r="208" spans="1:12" x14ac:dyDescent="0.25">
      <c r="A208" s="5"/>
    </row>
    <row r="209" spans="1:12" x14ac:dyDescent="0.25">
      <c r="A209" s="5"/>
    </row>
    <row r="210" spans="1:12" x14ac:dyDescent="0.25">
      <c r="A210" s="15" t="s">
        <v>100</v>
      </c>
      <c r="B210" s="37" t="s">
        <v>286</v>
      </c>
      <c r="C210" s="37" t="s">
        <v>287</v>
      </c>
      <c r="D210" s="37" t="s">
        <v>288</v>
      </c>
      <c r="E210" s="37" t="s">
        <v>290</v>
      </c>
      <c r="F210" s="15"/>
      <c r="G210" s="15"/>
    </row>
    <row r="211" spans="1:12" x14ac:dyDescent="0.25">
      <c r="A211" s="5"/>
      <c r="B211" s="21"/>
      <c r="C211" s="21"/>
      <c r="D211" s="21"/>
      <c r="E211" s="21" t="s">
        <v>97</v>
      </c>
      <c r="F211" s="33"/>
      <c r="G211" s="17" t="s">
        <v>265</v>
      </c>
    </row>
    <row r="212" spans="1:12" x14ac:dyDescent="0.25">
      <c r="A212" s="5"/>
      <c r="B212" s="21"/>
      <c r="C212" s="21"/>
      <c r="D212" s="21"/>
      <c r="E212" s="21" t="s">
        <v>75</v>
      </c>
      <c r="F212" s="33"/>
      <c r="G212" s="17" t="s">
        <v>266</v>
      </c>
    </row>
    <row r="213" spans="1:12" x14ac:dyDescent="0.25">
      <c r="A213" s="5"/>
      <c r="B213" s="21" t="s">
        <v>75</v>
      </c>
      <c r="C213" s="21" t="s">
        <v>74</v>
      </c>
      <c r="D213" s="21" t="s">
        <v>102</v>
      </c>
      <c r="E213" s="21" t="s">
        <v>279</v>
      </c>
      <c r="F213" s="33"/>
      <c r="G213" s="3"/>
    </row>
    <row r="214" spans="1:12" x14ac:dyDescent="0.25">
      <c r="A214" s="5"/>
      <c r="B214" s="21" t="s">
        <v>101</v>
      </c>
      <c r="C214" s="21" t="s">
        <v>278</v>
      </c>
      <c r="D214" s="21" t="s">
        <v>76</v>
      </c>
      <c r="E214" s="21" t="s">
        <v>280</v>
      </c>
      <c r="F214" s="33"/>
      <c r="G214" s="3"/>
    </row>
    <row r="215" spans="1:12" x14ac:dyDescent="0.25">
      <c r="A215" s="5"/>
      <c r="B215" s="21" t="s">
        <v>0</v>
      </c>
      <c r="C215" s="21" t="s">
        <v>0</v>
      </c>
      <c r="D215" s="21" t="s">
        <v>0</v>
      </c>
      <c r="E215" s="21" t="s">
        <v>0</v>
      </c>
      <c r="F215" s="1" t="s">
        <v>329</v>
      </c>
      <c r="G215" s="3"/>
    </row>
    <row r="216" spans="1:12" x14ac:dyDescent="0.25">
      <c r="A216" s="5" t="s">
        <v>103</v>
      </c>
      <c r="B216" s="43">
        <v>160</v>
      </c>
      <c r="C216" s="43">
        <v>400</v>
      </c>
      <c r="D216" s="43">
        <v>50</v>
      </c>
      <c r="E216" s="43">
        <v>260</v>
      </c>
      <c r="F216" s="6" t="s">
        <v>166</v>
      </c>
      <c r="G216" s="54">
        <f>((B216*D216^3/12)/0.5*D216*C216)</f>
        <v>66666666666.666672</v>
      </c>
      <c r="H216" s="52"/>
      <c r="I216" s="53">
        <f>C216*E216/1000000</f>
        <v>0.104</v>
      </c>
      <c r="J216" s="52" t="s">
        <v>59</v>
      </c>
      <c r="K216" s="6"/>
      <c r="L216" s="6"/>
    </row>
    <row r="217" spans="1:12" x14ac:dyDescent="0.25">
      <c r="A217" s="5" t="s">
        <v>104</v>
      </c>
      <c r="B217" s="43">
        <v>130</v>
      </c>
      <c r="C217" s="43">
        <v>940</v>
      </c>
      <c r="D217" s="43">
        <v>60</v>
      </c>
      <c r="E217" s="43">
        <v>260</v>
      </c>
      <c r="F217" s="6" t="s">
        <v>212</v>
      </c>
      <c r="G217" s="54">
        <f t="shared" ref="G217:G231" si="3">((B217*D217^3/12)/0.5*D217*C217)</f>
        <v>263952000000</v>
      </c>
      <c r="H217" s="52"/>
      <c r="I217" s="53">
        <f t="shared" ref="I217:I231" si="4">C217*E217/1000000</f>
        <v>0.24440000000000001</v>
      </c>
      <c r="J217" s="52" t="s">
        <v>59</v>
      </c>
      <c r="K217" s="6"/>
      <c r="L217" s="6"/>
    </row>
    <row r="218" spans="1:12" x14ac:dyDescent="0.25">
      <c r="A218" s="5" t="s">
        <v>105</v>
      </c>
      <c r="B218" s="43">
        <v>120</v>
      </c>
      <c r="C218" s="43">
        <v>1200</v>
      </c>
      <c r="D218" s="43">
        <v>60</v>
      </c>
      <c r="E218" s="43">
        <v>200</v>
      </c>
      <c r="F218" s="6" t="s">
        <v>167</v>
      </c>
      <c r="G218" s="54">
        <f t="shared" si="3"/>
        <v>311040000000</v>
      </c>
      <c r="H218" s="52"/>
      <c r="I218" s="53">
        <f t="shared" si="4"/>
        <v>0.24</v>
      </c>
      <c r="J218" s="52" t="s">
        <v>59</v>
      </c>
      <c r="K218" s="6"/>
      <c r="L218" s="6"/>
    </row>
    <row r="219" spans="1:12" x14ac:dyDescent="0.25">
      <c r="A219" s="5" t="s">
        <v>106</v>
      </c>
      <c r="B219" s="43">
        <v>170</v>
      </c>
      <c r="C219" s="43">
        <v>1320</v>
      </c>
      <c r="D219" s="43">
        <v>90</v>
      </c>
      <c r="E219" s="43">
        <v>220</v>
      </c>
      <c r="F219" s="6" t="s">
        <v>168</v>
      </c>
      <c r="G219" s="54">
        <f t="shared" si="3"/>
        <v>2453814000000</v>
      </c>
      <c r="H219" s="52"/>
      <c r="I219" s="53">
        <f t="shared" si="4"/>
        <v>0.29039999999999999</v>
      </c>
      <c r="J219" s="52" t="s">
        <v>59</v>
      </c>
      <c r="K219" s="6"/>
      <c r="L219" s="6"/>
    </row>
    <row r="220" spans="1:12" x14ac:dyDescent="0.25">
      <c r="A220" s="5" t="s">
        <v>107</v>
      </c>
      <c r="B220" s="43">
        <v>170</v>
      </c>
      <c r="C220" s="43">
        <v>1440</v>
      </c>
      <c r="D220" s="43">
        <v>90</v>
      </c>
      <c r="E220" s="43">
        <v>220</v>
      </c>
      <c r="F220" s="6" t="s">
        <v>169</v>
      </c>
      <c r="G220" s="54">
        <f t="shared" si="3"/>
        <v>2676888000000</v>
      </c>
      <c r="H220" s="52"/>
      <c r="I220" s="53">
        <f t="shared" si="4"/>
        <v>0.31680000000000003</v>
      </c>
      <c r="J220" s="52" t="s">
        <v>59</v>
      </c>
      <c r="K220" s="6"/>
      <c r="L220" s="6"/>
    </row>
    <row r="221" spans="1:12" x14ac:dyDescent="0.25">
      <c r="A221" s="5" t="s">
        <v>108</v>
      </c>
      <c r="B221" s="43">
        <v>170</v>
      </c>
      <c r="C221" s="43">
        <v>1500</v>
      </c>
      <c r="D221" s="43">
        <v>105</v>
      </c>
      <c r="E221" s="43">
        <v>220</v>
      </c>
      <c r="F221" s="6" t="s">
        <v>170</v>
      </c>
      <c r="G221" s="54">
        <f t="shared" si="3"/>
        <v>5165901562500</v>
      </c>
      <c r="H221" s="52"/>
      <c r="I221" s="53">
        <f t="shared" si="4"/>
        <v>0.33</v>
      </c>
      <c r="J221" s="52" t="s">
        <v>59</v>
      </c>
      <c r="K221" s="6"/>
      <c r="L221" s="6"/>
    </row>
    <row r="222" spans="1:12" x14ac:dyDescent="0.25">
      <c r="A222" s="5" t="s">
        <v>109</v>
      </c>
      <c r="B222" s="43">
        <v>150</v>
      </c>
      <c r="C222" s="43">
        <v>1600</v>
      </c>
      <c r="D222" s="43">
        <v>120</v>
      </c>
      <c r="E222" s="43">
        <v>220</v>
      </c>
      <c r="F222" s="6" t="s">
        <v>171</v>
      </c>
      <c r="G222" s="54">
        <f t="shared" si="3"/>
        <v>8294400000000</v>
      </c>
      <c r="H222" s="52"/>
      <c r="I222" s="53">
        <f t="shared" si="4"/>
        <v>0.35199999999999998</v>
      </c>
      <c r="J222" s="52" t="s">
        <v>59</v>
      </c>
      <c r="K222" s="6"/>
      <c r="L222" s="6"/>
    </row>
    <row r="223" spans="1:12" x14ac:dyDescent="0.25">
      <c r="A223" s="5" t="s">
        <v>110</v>
      </c>
      <c r="B223" s="43">
        <v>140</v>
      </c>
      <c r="C223" s="43">
        <v>1700</v>
      </c>
      <c r="D223" s="43">
        <v>110</v>
      </c>
      <c r="E223" s="43">
        <v>280</v>
      </c>
      <c r="F223" s="6" t="s">
        <v>172</v>
      </c>
      <c r="G223" s="54">
        <f t="shared" si="3"/>
        <v>5807596666666.667</v>
      </c>
      <c r="H223" s="52"/>
      <c r="I223" s="53">
        <f t="shared" si="4"/>
        <v>0.47599999999999998</v>
      </c>
      <c r="J223" s="52" t="s">
        <v>59</v>
      </c>
      <c r="K223" s="6"/>
      <c r="L223" s="6"/>
    </row>
    <row r="224" spans="1:12" x14ac:dyDescent="0.25">
      <c r="A224" s="5" t="s">
        <v>111</v>
      </c>
      <c r="B224" s="43">
        <v>140</v>
      </c>
      <c r="C224" s="43">
        <v>1900</v>
      </c>
      <c r="D224" s="43">
        <v>150</v>
      </c>
      <c r="E224" s="43">
        <v>220</v>
      </c>
      <c r="F224" s="6" t="s">
        <v>213</v>
      </c>
      <c r="G224" s="54">
        <f t="shared" si="3"/>
        <v>22443750000000</v>
      </c>
      <c r="H224" s="52"/>
      <c r="I224" s="53">
        <f t="shared" si="4"/>
        <v>0.41799999999999998</v>
      </c>
      <c r="J224" s="52" t="s">
        <v>59</v>
      </c>
      <c r="K224" s="6"/>
      <c r="L224" s="6"/>
    </row>
    <row r="225" spans="1:12" x14ac:dyDescent="0.25">
      <c r="A225" s="5" t="s">
        <v>112</v>
      </c>
      <c r="B225" s="43">
        <v>0</v>
      </c>
      <c r="C225" s="43">
        <v>0</v>
      </c>
      <c r="D225" s="43">
        <v>0</v>
      </c>
      <c r="E225" s="43">
        <v>0</v>
      </c>
      <c r="F225" s="6"/>
      <c r="G225" s="54">
        <f t="shared" si="3"/>
        <v>0</v>
      </c>
      <c r="H225" s="52"/>
      <c r="I225" s="53">
        <f t="shared" si="4"/>
        <v>0</v>
      </c>
      <c r="J225" s="52" t="s">
        <v>59</v>
      </c>
      <c r="K225" s="6"/>
      <c r="L225" s="6"/>
    </row>
    <row r="226" spans="1:12" x14ac:dyDescent="0.25">
      <c r="A226" s="5" t="s">
        <v>113</v>
      </c>
      <c r="B226" s="43">
        <v>0</v>
      </c>
      <c r="C226" s="43">
        <v>0</v>
      </c>
      <c r="D226" s="43">
        <v>0</v>
      </c>
      <c r="E226" s="43">
        <v>0</v>
      </c>
      <c r="F226" s="6"/>
      <c r="G226" s="54">
        <f t="shared" si="3"/>
        <v>0</v>
      </c>
      <c r="H226" s="52"/>
      <c r="I226" s="53">
        <f t="shared" si="4"/>
        <v>0</v>
      </c>
      <c r="J226" s="52" t="s">
        <v>59</v>
      </c>
      <c r="K226" s="6"/>
      <c r="L226" s="6"/>
    </row>
    <row r="227" spans="1:12" x14ac:dyDescent="0.25">
      <c r="A227" s="5" t="s">
        <v>114</v>
      </c>
      <c r="B227" s="43">
        <v>0</v>
      </c>
      <c r="C227" s="43">
        <v>0</v>
      </c>
      <c r="D227" s="43">
        <v>0</v>
      </c>
      <c r="E227" s="43">
        <v>0</v>
      </c>
      <c r="F227" s="6"/>
      <c r="G227" s="54">
        <f t="shared" si="3"/>
        <v>0</v>
      </c>
      <c r="H227" s="52"/>
      <c r="I227" s="53">
        <f t="shared" si="4"/>
        <v>0</v>
      </c>
      <c r="J227" s="52" t="s">
        <v>59</v>
      </c>
      <c r="K227" s="6"/>
      <c r="L227" s="6"/>
    </row>
    <row r="228" spans="1:12" x14ac:dyDescent="0.25">
      <c r="A228" s="5" t="s">
        <v>115</v>
      </c>
      <c r="B228" s="43">
        <v>0</v>
      </c>
      <c r="C228" s="43">
        <v>0</v>
      </c>
      <c r="D228" s="43">
        <v>0</v>
      </c>
      <c r="E228" s="43">
        <v>0</v>
      </c>
      <c r="F228" s="6"/>
      <c r="G228" s="54">
        <f t="shared" si="3"/>
        <v>0</v>
      </c>
      <c r="H228" s="52"/>
      <c r="I228" s="53">
        <f t="shared" si="4"/>
        <v>0</v>
      </c>
      <c r="J228" s="52" t="s">
        <v>59</v>
      </c>
      <c r="K228" s="6"/>
      <c r="L228" s="6"/>
    </row>
    <row r="229" spans="1:12" x14ac:dyDescent="0.25">
      <c r="A229" s="5" t="s">
        <v>116</v>
      </c>
      <c r="B229" s="43">
        <v>0</v>
      </c>
      <c r="C229" s="43">
        <v>0</v>
      </c>
      <c r="D229" s="43">
        <v>0</v>
      </c>
      <c r="E229" s="43">
        <v>0</v>
      </c>
      <c r="F229" s="6"/>
      <c r="G229" s="54">
        <f t="shared" si="3"/>
        <v>0</v>
      </c>
      <c r="H229" s="52"/>
      <c r="I229" s="53">
        <f t="shared" si="4"/>
        <v>0</v>
      </c>
      <c r="J229" s="52" t="s">
        <v>59</v>
      </c>
      <c r="K229" s="6"/>
      <c r="L229" s="6"/>
    </row>
    <row r="230" spans="1:12" x14ac:dyDescent="0.25">
      <c r="A230" s="5" t="s">
        <v>117</v>
      </c>
      <c r="B230" s="43">
        <v>0</v>
      </c>
      <c r="C230" s="43">
        <v>0</v>
      </c>
      <c r="D230" s="43">
        <v>0</v>
      </c>
      <c r="E230" s="43">
        <v>0</v>
      </c>
      <c r="F230" s="6"/>
      <c r="G230" s="54">
        <f t="shared" si="3"/>
        <v>0</v>
      </c>
      <c r="H230" s="52"/>
      <c r="I230" s="53">
        <f t="shared" si="4"/>
        <v>0</v>
      </c>
      <c r="J230" s="52" t="s">
        <v>59</v>
      </c>
      <c r="K230" s="6"/>
      <c r="L230" s="6"/>
    </row>
    <row r="231" spans="1:12" x14ac:dyDescent="0.25">
      <c r="A231" s="5" t="s">
        <v>118</v>
      </c>
      <c r="B231" s="43">
        <v>0</v>
      </c>
      <c r="C231" s="43">
        <v>0</v>
      </c>
      <c r="D231" s="43">
        <v>0</v>
      </c>
      <c r="E231" s="43">
        <v>0</v>
      </c>
      <c r="F231" s="6"/>
      <c r="G231" s="54">
        <f t="shared" si="3"/>
        <v>0</v>
      </c>
      <c r="H231" s="52"/>
      <c r="I231" s="53">
        <f t="shared" si="4"/>
        <v>0</v>
      </c>
      <c r="J231" s="52" t="s">
        <v>59</v>
      </c>
      <c r="K231" s="6"/>
      <c r="L231" s="6"/>
    </row>
    <row r="232" spans="1:12" x14ac:dyDescent="0.25">
      <c r="A232" s="5"/>
      <c r="G232" s="3"/>
    </row>
    <row r="233" spans="1:12" x14ac:dyDescent="0.25">
      <c r="A233" s="23" t="s">
        <v>228</v>
      </c>
      <c r="B233" s="1"/>
      <c r="C233" s="1"/>
      <c r="D233" s="1"/>
      <c r="E233" s="1"/>
      <c r="F233" s="1"/>
      <c r="G233" s="20">
        <f>SUM(G216:G231)</f>
        <v>47484008895833.336</v>
      </c>
      <c r="H233" s="31"/>
      <c r="I233" s="1"/>
      <c r="J233" s="1"/>
    </row>
    <row r="234" spans="1:12" x14ac:dyDescent="0.25">
      <c r="A234" s="23" t="s">
        <v>354</v>
      </c>
      <c r="B234" s="1"/>
      <c r="C234" s="1"/>
      <c r="D234" s="1"/>
      <c r="E234" s="1"/>
      <c r="F234" s="19">
        <f>SUM(I216:I231)</f>
        <v>2.7716000000000003</v>
      </c>
      <c r="G234" s="1"/>
      <c r="H234" s="1"/>
      <c r="I234" s="1"/>
      <c r="J234" s="1"/>
    </row>
    <row r="235" spans="1:12" x14ac:dyDescent="0.25">
      <c r="A235" s="5"/>
    </row>
    <row r="236" spans="1:12" x14ac:dyDescent="0.25">
      <c r="A236" s="24"/>
    </row>
    <row r="237" spans="1:12" x14ac:dyDescent="0.25">
      <c r="A237" s="15" t="s">
        <v>120</v>
      </c>
      <c r="B237" s="37" t="s">
        <v>294</v>
      </c>
      <c r="C237" s="15"/>
      <c r="D237" s="15"/>
      <c r="E237" s="15"/>
      <c r="F237" s="15"/>
      <c r="G237" s="15"/>
    </row>
    <row r="238" spans="1:12" x14ac:dyDescent="0.25">
      <c r="A238" s="5"/>
    </row>
    <row r="239" spans="1:12" x14ac:dyDescent="0.25">
      <c r="A239" s="5" t="s">
        <v>121</v>
      </c>
      <c r="B239" s="43">
        <v>214</v>
      </c>
      <c r="C239" s="18" t="s">
        <v>295</v>
      </c>
    </row>
    <row r="240" spans="1:12" x14ac:dyDescent="0.25">
      <c r="A240" s="5" t="s">
        <v>123</v>
      </c>
      <c r="B240" s="43">
        <v>6</v>
      </c>
      <c r="C240" s="18" t="s">
        <v>0</v>
      </c>
    </row>
    <row r="241" spans="1:8" x14ac:dyDescent="0.25">
      <c r="A241" s="10" t="s">
        <v>267</v>
      </c>
      <c r="B241" s="43">
        <v>65</v>
      </c>
      <c r="C241" s="18" t="s">
        <v>0</v>
      </c>
    </row>
    <row r="242" spans="1:8" x14ac:dyDescent="0.25">
      <c r="A242" s="10"/>
    </row>
    <row r="243" spans="1:8" x14ac:dyDescent="0.25">
      <c r="A243" s="23" t="s">
        <v>122</v>
      </c>
      <c r="B243" s="20">
        <f>B239*PI()*(B240/2)^2</f>
        <v>6050.7074508139413</v>
      </c>
      <c r="C243" s="1" t="s">
        <v>52</v>
      </c>
    </row>
    <row r="244" spans="1:8" x14ac:dyDescent="0.25">
      <c r="A244" s="5"/>
    </row>
    <row r="245" spans="1:8" x14ac:dyDescent="0.25">
      <c r="A245" s="5"/>
    </row>
    <row r="246" spans="1:8" x14ac:dyDescent="0.25">
      <c r="A246" s="15" t="s">
        <v>124</v>
      </c>
      <c r="B246" s="37" t="s">
        <v>286</v>
      </c>
      <c r="C246" s="37" t="s">
        <v>287</v>
      </c>
      <c r="D246" s="37" t="s">
        <v>288</v>
      </c>
      <c r="E246" s="15"/>
      <c r="F246" s="15"/>
      <c r="G246" s="15"/>
    </row>
    <row r="247" spans="1:8" x14ac:dyDescent="0.25">
      <c r="A247" s="5"/>
      <c r="B247" s="21"/>
      <c r="C247" s="21"/>
      <c r="D247" s="21"/>
      <c r="E247" s="18" t="s">
        <v>136</v>
      </c>
      <c r="F247" s="18"/>
    </row>
    <row r="248" spans="1:8" x14ac:dyDescent="0.25">
      <c r="A248" s="5"/>
      <c r="B248" s="21" t="s">
        <v>74</v>
      </c>
      <c r="C248" s="21" t="s">
        <v>75</v>
      </c>
      <c r="D248" s="21" t="s">
        <v>94</v>
      </c>
      <c r="E248" t="s">
        <v>296</v>
      </c>
    </row>
    <row r="249" spans="1:8" x14ac:dyDescent="0.25">
      <c r="A249" s="5"/>
      <c r="B249" s="21" t="s">
        <v>0</v>
      </c>
      <c r="C249" s="21" t="s">
        <v>0</v>
      </c>
      <c r="D249" s="21" t="s">
        <v>0</v>
      </c>
    </row>
    <row r="250" spans="1:8" x14ac:dyDescent="0.25">
      <c r="A250" s="5" t="s">
        <v>126</v>
      </c>
      <c r="B250" s="43">
        <v>300</v>
      </c>
      <c r="C250" s="43">
        <v>80</v>
      </c>
      <c r="D250" s="43">
        <v>5</v>
      </c>
      <c r="E250" s="13">
        <f>B250*C250*D250/1000000</f>
        <v>0.12</v>
      </c>
      <c r="F250" s="13"/>
      <c r="G250" t="s">
        <v>51</v>
      </c>
      <c r="H250" s="28">
        <f>B250*C250</f>
        <v>24000</v>
      </c>
    </row>
    <row r="251" spans="1:8" x14ac:dyDescent="0.25">
      <c r="A251" s="5" t="s">
        <v>127</v>
      </c>
      <c r="B251" s="43">
        <v>300</v>
      </c>
      <c r="C251" s="43">
        <v>80</v>
      </c>
      <c r="D251" s="43">
        <v>5</v>
      </c>
      <c r="E251" s="13">
        <f t="shared" ref="E251:E259" si="5">B251*C251*D251/1000000</f>
        <v>0.12</v>
      </c>
      <c r="F251" s="13"/>
      <c r="G251" t="s">
        <v>51</v>
      </c>
      <c r="H251" s="28">
        <f t="shared" ref="H251:H259" si="6">B251*C251</f>
        <v>24000</v>
      </c>
    </row>
    <row r="252" spans="1:8" x14ac:dyDescent="0.25">
      <c r="A252" s="5" t="s">
        <v>128</v>
      </c>
      <c r="B252" s="43">
        <v>300</v>
      </c>
      <c r="C252" s="43">
        <v>80</v>
      </c>
      <c r="D252" s="43">
        <v>5</v>
      </c>
      <c r="E252" s="13">
        <f t="shared" si="5"/>
        <v>0.12</v>
      </c>
      <c r="F252" s="13"/>
      <c r="G252" t="s">
        <v>51</v>
      </c>
      <c r="H252" s="28">
        <f t="shared" si="6"/>
        <v>24000</v>
      </c>
    </row>
    <row r="253" spans="1:8" x14ac:dyDescent="0.25">
      <c r="A253" s="5" t="s">
        <v>129</v>
      </c>
      <c r="B253" s="43">
        <v>300</v>
      </c>
      <c r="C253" s="43">
        <v>80</v>
      </c>
      <c r="D253" s="43">
        <v>5</v>
      </c>
      <c r="E253" s="13">
        <f t="shared" si="5"/>
        <v>0.12</v>
      </c>
      <c r="F253" s="13"/>
      <c r="G253" t="s">
        <v>51</v>
      </c>
      <c r="H253" s="28">
        <f t="shared" si="6"/>
        <v>24000</v>
      </c>
    </row>
    <row r="254" spans="1:8" x14ac:dyDescent="0.25">
      <c r="A254" s="5" t="s">
        <v>130</v>
      </c>
      <c r="B254" s="43">
        <v>300</v>
      </c>
      <c r="C254" s="43">
        <v>80</v>
      </c>
      <c r="D254" s="43">
        <v>5</v>
      </c>
      <c r="E254" s="13">
        <f t="shared" si="5"/>
        <v>0.12</v>
      </c>
      <c r="F254" s="13"/>
      <c r="G254" t="s">
        <v>51</v>
      </c>
      <c r="H254" s="28">
        <f t="shared" si="6"/>
        <v>24000</v>
      </c>
    </row>
    <row r="255" spans="1:8" x14ac:dyDescent="0.25">
      <c r="A255" s="5" t="s">
        <v>131</v>
      </c>
      <c r="B255" s="43">
        <v>300</v>
      </c>
      <c r="C255" s="43">
        <v>80</v>
      </c>
      <c r="D255" s="43">
        <v>5</v>
      </c>
      <c r="E255" s="13">
        <f t="shared" si="5"/>
        <v>0.12</v>
      </c>
      <c r="F255" s="13"/>
      <c r="G255" t="s">
        <v>51</v>
      </c>
      <c r="H255" s="28">
        <f t="shared" si="6"/>
        <v>24000</v>
      </c>
    </row>
    <row r="256" spans="1:8" x14ac:dyDescent="0.25">
      <c r="A256" s="5" t="s">
        <v>132</v>
      </c>
      <c r="B256" s="43">
        <v>0</v>
      </c>
      <c r="C256" s="43">
        <v>0</v>
      </c>
      <c r="D256" s="43">
        <v>0</v>
      </c>
      <c r="E256" s="13">
        <f t="shared" si="5"/>
        <v>0</v>
      </c>
      <c r="F256" s="13"/>
      <c r="G256" t="s">
        <v>51</v>
      </c>
      <c r="H256" s="28">
        <f t="shared" si="6"/>
        <v>0</v>
      </c>
    </row>
    <row r="257" spans="1:11" x14ac:dyDescent="0.25">
      <c r="A257" s="5" t="s">
        <v>133</v>
      </c>
      <c r="B257" s="43">
        <v>0</v>
      </c>
      <c r="C257" s="43">
        <v>0</v>
      </c>
      <c r="D257" s="43">
        <v>0</v>
      </c>
      <c r="E257" s="13">
        <f t="shared" si="5"/>
        <v>0</v>
      </c>
      <c r="F257" s="13"/>
      <c r="G257" t="s">
        <v>51</v>
      </c>
      <c r="H257" s="28">
        <f t="shared" si="6"/>
        <v>0</v>
      </c>
    </row>
    <row r="258" spans="1:11" x14ac:dyDescent="0.25">
      <c r="A258" s="5" t="s">
        <v>134</v>
      </c>
      <c r="B258" s="43">
        <v>0</v>
      </c>
      <c r="C258" s="43">
        <v>0</v>
      </c>
      <c r="D258" s="43">
        <v>0</v>
      </c>
      <c r="E258" s="13">
        <f t="shared" si="5"/>
        <v>0</v>
      </c>
      <c r="F258" s="13"/>
      <c r="G258" t="s">
        <v>51</v>
      </c>
      <c r="H258" s="28">
        <f t="shared" si="6"/>
        <v>0</v>
      </c>
    </row>
    <row r="259" spans="1:11" x14ac:dyDescent="0.25">
      <c r="A259" s="5" t="s">
        <v>135</v>
      </c>
      <c r="B259" s="43">
        <v>0</v>
      </c>
      <c r="C259" s="43">
        <v>0</v>
      </c>
      <c r="D259" s="43">
        <v>0</v>
      </c>
      <c r="E259" s="13">
        <f t="shared" si="5"/>
        <v>0</v>
      </c>
      <c r="F259" s="13"/>
      <c r="G259" t="s">
        <v>51</v>
      </c>
      <c r="H259" s="28">
        <f t="shared" si="6"/>
        <v>0</v>
      </c>
    </row>
    <row r="260" spans="1:11" x14ac:dyDescent="0.25">
      <c r="A260" s="5"/>
      <c r="B260" s="5"/>
      <c r="C260" s="5"/>
      <c r="D260" s="5"/>
    </row>
    <row r="261" spans="1:11" x14ac:dyDescent="0.25">
      <c r="A261" s="5" t="s">
        <v>125</v>
      </c>
      <c r="B261" s="43">
        <v>20</v>
      </c>
      <c r="C261" s="33" t="s">
        <v>0</v>
      </c>
      <c r="D261" s="5"/>
    </row>
    <row r="262" spans="1:11" x14ac:dyDescent="0.25">
      <c r="A262" s="5"/>
      <c r="C262" s="18"/>
    </row>
    <row r="263" spans="1:11" x14ac:dyDescent="0.25">
      <c r="A263" s="23" t="s">
        <v>137</v>
      </c>
      <c r="B263" s="20">
        <f>2*B11*PI()*(B261/2)^2</f>
        <v>3769.9111843077517</v>
      </c>
      <c r="C263" s="21" t="s">
        <v>52</v>
      </c>
      <c r="D263" s="1"/>
      <c r="E263" s="1"/>
      <c r="F263" s="1"/>
      <c r="G263" s="1"/>
    </row>
    <row r="264" spans="1:11" x14ac:dyDescent="0.25">
      <c r="A264" s="23" t="s">
        <v>211</v>
      </c>
      <c r="B264" s="20">
        <f>SUM(H250:H259)</f>
        <v>144000</v>
      </c>
      <c r="C264" s="21" t="s">
        <v>52</v>
      </c>
      <c r="D264" s="1"/>
      <c r="E264" s="1"/>
      <c r="F264" s="1"/>
      <c r="G264" s="1"/>
    </row>
    <row r="265" spans="1:11" x14ac:dyDescent="0.25">
      <c r="A265" s="23" t="s">
        <v>138</v>
      </c>
      <c r="B265" s="1"/>
      <c r="C265" s="1"/>
      <c r="D265" s="1"/>
      <c r="E265" s="22">
        <f>SUM(E250:E259)</f>
        <v>0.72</v>
      </c>
      <c r="F265" s="22" t="s">
        <v>51</v>
      </c>
      <c r="G265" s="1"/>
    </row>
    <row r="266" spans="1:11" x14ac:dyDescent="0.25">
      <c r="A266" s="5"/>
    </row>
    <row r="267" spans="1:11" x14ac:dyDescent="0.25">
      <c r="A267" s="5"/>
    </row>
    <row r="268" spans="1:11" x14ac:dyDescent="0.25">
      <c r="A268" s="26" t="s">
        <v>297</v>
      </c>
      <c r="B268" s="27"/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1:11" x14ac:dyDescent="0.25">
      <c r="A269" s="5"/>
      <c r="C269" s="1" t="s">
        <v>141</v>
      </c>
    </row>
    <row r="270" spans="1:11" x14ac:dyDescent="0.25">
      <c r="A270" s="23" t="s">
        <v>139</v>
      </c>
    </row>
    <row r="271" spans="1:11" x14ac:dyDescent="0.25">
      <c r="A271" s="5" t="s">
        <v>31</v>
      </c>
      <c r="B271" s="44">
        <f>B111/B22</f>
        <v>0.99772735300450988</v>
      </c>
      <c r="C271" s="6">
        <v>1</v>
      </c>
      <c r="E271" s="64"/>
      <c r="F271" s="64"/>
      <c r="G271" s="64">
        <f>B271*C271</f>
        <v>0.99772735300450988</v>
      </c>
    </row>
    <row r="272" spans="1:11" x14ac:dyDescent="0.25">
      <c r="A272" s="5" t="s">
        <v>32</v>
      </c>
      <c r="B272" s="44">
        <f>B112/B23</f>
        <v>1.0010642337837894</v>
      </c>
      <c r="C272" s="6">
        <v>1</v>
      </c>
      <c r="E272" s="64"/>
      <c r="F272" s="28"/>
      <c r="G272" s="64">
        <f t="shared" ref="G272:G320" si="7">B272*C272</f>
        <v>1.0010642337837894</v>
      </c>
    </row>
    <row r="273" spans="1:7" x14ac:dyDescent="0.25">
      <c r="A273" s="5" t="s">
        <v>35</v>
      </c>
      <c r="B273" s="44">
        <f>B113/B24</f>
        <v>0.99772735300450976</v>
      </c>
      <c r="C273" s="6">
        <v>1</v>
      </c>
      <c r="E273" s="64"/>
      <c r="F273" s="28"/>
      <c r="G273" s="64">
        <f t="shared" si="7"/>
        <v>0.99772735300450976</v>
      </c>
    </row>
    <row r="274" spans="1:7" x14ac:dyDescent="0.25">
      <c r="A274" s="5" t="s">
        <v>33</v>
      </c>
      <c r="B274" s="44">
        <f>B114/B25</f>
        <v>0.9932127495972497</v>
      </c>
      <c r="C274" s="6">
        <v>1</v>
      </c>
      <c r="E274" s="64"/>
      <c r="F274" s="28"/>
      <c r="G274" s="64">
        <f t="shared" si="7"/>
        <v>0.9932127495972497</v>
      </c>
    </row>
    <row r="275" spans="1:7" x14ac:dyDescent="0.25">
      <c r="A275" s="5" t="s">
        <v>34</v>
      </c>
      <c r="B275" s="44">
        <f>B115/B27</f>
        <v>0.99992170802983726</v>
      </c>
      <c r="C275" s="6">
        <v>1</v>
      </c>
      <c r="E275" s="64"/>
      <c r="F275" s="28"/>
      <c r="G275" s="64">
        <f t="shared" si="7"/>
        <v>0.99992170802983726</v>
      </c>
    </row>
    <row r="276" spans="1:7" x14ac:dyDescent="0.25">
      <c r="A276" s="5" t="s">
        <v>36</v>
      </c>
      <c r="B276" s="44">
        <f>B116/B28</f>
        <v>1.002801120448179</v>
      </c>
      <c r="C276" s="6">
        <v>1</v>
      </c>
      <c r="E276" s="64"/>
      <c r="F276" s="28"/>
      <c r="G276" s="64">
        <f t="shared" si="7"/>
        <v>1.002801120448179</v>
      </c>
    </row>
    <row r="277" spans="1:7" x14ac:dyDescent="0.25">
      <c r="A277" s="5" t="s">
        <v>41</v>
      </c>
      <c r="B277" s="44">
        <f>B117/B29</f>
        <v>1</v>
      </c>
      <c r="C277" s="6">
        <v>1</v>
      </c>
      <c r="E277" s="64"/>
      <c r="F277" s="28"/>
      <c r="G277" s="64">
        <f t="shared" si="7"/>
        <v>1</v>
      </c>
    </row>
    <row r="278" spans="1:7" x14ac:dyDescent="0.25">
      <c r="A278" s="25" t="s">
        <v>142</v>
      </c>
      <c r="B278" s="45">
        <f>SUM(G271:G277)/SUM(C271:C277)</f>
        <v>0.99892207398115362</v>
      </c>
      <c r="C278">
        <f>AVERAGE(C271:C277)</f>
        <v>1</v>
      </c>
      <c r="E278" s="64"/>
      <c r="F278" s="28"/>
      <c r="G278" s="64"/>
    </row>
    <row r="279" spans="1:7" x14ac:dyDescent="0.25">
      <c r="A279" s="5"/>
      <c r="B279" s="44"/>
      <c r="E279" s="65"/>
      <c r="F279" s="29"/>
      <c r="G279" s="64"/>
    </row>
    <row r="280" spans="1:7" x14ac:dyDescent="0.25">
      <c r="A280" s="5"/>
      <c r="B280" s="44"/>
      <c r="E280" s="65"/>
      <c r="F280" s="29"/>
      <c r="G280" s="64"/>
    </row>
    <row r="281" spans="1:7" x14ac:dyDescent="0.25">
      <c r="A281" s="23" t="s">
        <v>140</v>
      </c>
      <c r="B281" s="44"/>
      <c r="E281" s="65"/>
      <c r="F281" s="29"/>
      <c r="G281" s="64"/>
    </row>
    <row r="282" spans="1:7" x14ac:dyDescent="0.25">
      <c r="A282" s="5" t="s">
        <v>231</v>
      </c>
      <c r="B282" s="44">
        <f>F173/B49</f>
        <v>9.5207556711609058</v>
      </c>
      <c r="C282" s="6">
        <v>1</v>
      </c>
      <c r="E282" s="65"/>
      <c r="F282" s="29"/>
      <c r="G282" s="64">
        <f t="shared" si="7"/>
        <v>9.5207556711609058</v>
      </c>
    </row>
    <row r="283" spans="1:7" x14ac:dyDescent="0.25">
      <c r="A283" s="5" t="s">
        <v>144</v>
      </c>
      <c r="B283" s="44">
        <f>F174/B50</f>
        <v>0.37608458408412454</v>
      </c>
      <c r="C283" s="6">
        <v>1</v>
      </c>
      <c r="E283" s="65"/>
      <c r="F283" s="29"/>
      <c r="G283" s="64">
        <f t="shared" si="7"/>
        <v>0.37608458408412454</v>
      </c>
    </row>
    <row r="284" spans="1:7" x14ac:dyDescent="0.25">
      <c r="A284" s="25" t="s">
        <v>145</v>
      </c>
      <c r="B284" s="45">
        <f>SUM(G282:G283)/SUM(C282:C283)</f>
        <v>4.9484201276225148</v>
      </c>
      <c r="C284">
        <f>AVERAGE(C282:C283)</f>
        <v>1</v>
      </c>
      <c r="E284" s="65"/>
      <c r="F284" s="29"/>
      <c r="G284" s="64"/>
    </row>
    <row r="285" spans="1:7" x14ac:dyDescent="0.25">
      <c r="A285" s="5"/>
      <c r="B285" s="44"/>
      <c r="E285" s="65"/>
      <c r="F285" s="29"/>
      <c r="G285" s="64"/>
    </row>
    <row r="286" spans="1:7" x14ac:dyDescent="0.25">
      <c r="A286" s="5"/>
      <c r="B286" s="44"/>
      <c r="E286" s="65"/>
      <c r="F286" s="29"/>
      <c r="G286" s="64"/>
    </row>
    <row r="287" spans="1:7" x14ac:dyDescent="0.25">
      <c r="A287" s="23" t="s">
        <v>143</v>
      </c>
      <c r="B287" s="44"/>
      <c r="E287" s="65"/>
      <c r="F287" s="29"/>
      <c r="G287" s="64"/>
    </row>
    <row r="288" spans="1:7" x14ac:dyDescent="0.25">
      <c r="A288" s="5" t="s">
        <v>56</v>
      </c>
      <c r="B288" s="44">
        <f>B205/B57</f>
        <v>2.4897191667300986</v>
      </c>
      <c r="C288" s="6">
        <v>1</v>
      </c>
      <c r="E288" s="65"/>
      <c r="F288" s="29"/>
      <c r="G288" s="64">
        <f t="shared" si="7"/>
        <v>2.4897191667300986</v>
      </c>
    </row>
    <row r="289" spans="1:7" x14ac:dyDescent="0.25">
      <c r="A289" s="5" t="s">
        <v>385</v>
      </c>
      <c r="B289" s="44">
        <f>C206/B58</f>
        <v>1.6314027620300111</v>
      </c>
      <c r="C289" s="6">
        <v>1</v>
      </c>
      <c r="E289" s="65"/>
      <c r="F289" s="29"/>
      <c r="G289" s="64">
        <f t="shared" si="7"/>
        <v>1.6314027620300111</v>
      </c>
    </row>
    <row r="290" spans="1:7" x14ac:dyDescent="0.25">
      <c r="A290" s="5" t="s">
        <v>99</v>
      </c>
      <c r="B290" s="44">
        <f>F207/B59</f>
        <v>1.2785810229064238</v>
      </c>
      <c r="C290" s="6">
        <v>1</v>
      </c>
      <c r="E290" s="65"/>
      <c r="F290" s="29"/>
      <c r="G290" s="64">
        <f t="shared" si="7"/>
        <v>1.2785810229064238</v>
      </c>
    </row>
    <row r="291" spans="1:7" x14ac:dyDescent="0.25">
      <c r="A291" s="25" t="s">
        <v>146</v>
      </c>
      <c r="B291" s="45">
        <f>SUM(G288:G290)/SUM(C288:C290)</f>
        <v>1.7999009838888445</v>
      </c>
      <c r="C291">
        <f>AVERAGE(C288:C290)</f>
        <v>1</v>
      </c>
      <c r="E291" s="65"/>
      <c r="F291" s="29"/>
      <c r="G291" s="64"/>
    </row>
    <row r="292" spans="1:7" x14ac:dyDescent="0.25">
      <c r="A292" s="5"/>
      <c r="B292" s="44"/>
      <c r="E292" s="65"/>
      <c r="F292" s="29"/>
      <c r="G292" s="64"/>
    </row>
    <row r="293" spans="1:7" x14ac:dyDescent="0.25">
      <c r="A293" s="5"/>
      <c r="B293" s="44"/>
      <c r="E293" s="65"/>
      <c r="F293" s="29"/>
      <c r="G293" s="64"/>
    </row>
    <row r="294" spans="1:7" x14ac:dyDescent="0.25">
      <c r="A294" s="23" t="s">
        <v>147</v>
      </c>
      <c r="B294" s="44"/>
      <c r="E294" s="65"/>
      <c r="F294" s="29"/>
      <c r="G294" s="64"/>
    </row>
    <row r="295" spans="1:7" x14ac:dyDescent="0.25">
      <c r="A295" s="10" t="s">
        <v>228</v>
      </c>
      <c r="B295" s="44">
        <f>G233/B72</f>
        <v>0.12431884271206846</v>
      </c>
      <c r="C295" s="6">
        <v>1</v>
      </c>
      <c r="E295" s="65"/>
      <c r="F295" s="29"/>
      <c r="G295" s="64">
        <f t="shared" si="7"/>
        <v>0.12431884271206846</v>
      </c>
    </row>
    <row r="296" spans="1:7" x14ac:dyDescent="0.25">
      <c r="A296" s="10" t="s">
        <v>119</v>
      </c>
      <c r="B296" s="44">
        <f>F234/B73</f>
        <v>2.442394188326857</v>
      </c>
      <c r="C296" s="6">
        <v>1</v>
      </c>
      <c r="E296" s="65"/>
      <c r="F296" s="29"/>
      <c r="G296" s="64">
        <f t="shared" si="7"/>
        <v>2.442394188326857</v>
      </c>
    </row>
    <row r="297" spans="1:7" x14ac:dyDescent="0.25">
      <c r="A297" s="25" t="s">
        <v>148</v>
      </c>
      <c r="B297" s="45">
        <f>SUM(G295:G296)/SUM(C295:C296)</f>
        <v>1.2833565155194626</v>
      </c>
      <c r="C297">
        <f>AVERAGE(C295:C296)</f>
        <v>1</v>
      </c>
      <c r="E297" s="65"/>
      <c r="F297" s="29"/>
      <c r="G297" s="64"/>
    </row>
    <row r="298" spans="1:7" x14ac:dyDescent="0.25">
      <c r="A298" s="5"/>
      <c r="B298" s="44"/>
      <c r="E298" s="65"/>
      <c r="F298" s="29"/>
      <c r="G298" s="64"/>
    </row>
    <row r="299" spans="1:7" x14ac:dyDescent="0.25">
      <c r="A299" s="5"/>
      <c r="B299" s="44"/>
      <c r="E299" s="65"/>
      <c r="F299" s="29"/>
      <c r="G299" s="64"/>
    </row>
    <row r="300" spans="1:7" x14ac:dyDescent="0.25">
      <c r="A300" s="23" t="s">
        <v>149</v>
      </c>
      <c r="B300" s="44"/>
      <c r="E300" s="65"/>
      <c r="F300" s="29"/>
      <c r="G300" s="64"/>
    </row>
    <row r="301" spans="1:7" x14ac:dyDescent="0.25">
      <c r="A301" s="10" t="s">
        <v>122</v>
      </c>
      <c r="B301" s="44">
        <f>B243/B79</f>
        <v>1.3154057391008172</v>
      </c>
      <c r="C301" s="6">
        <v>1</v>
      </c>
      <c r="E301" s="65"/>
      <c r="F301" s="29"/>
      <c r="G301" s="64">
        <f t="shared" si="7"/>
        <v>1.3154057391008172</v>
      </c>
    </row>
    <row r="302" spans="1:7" x14ac:dyDescent="0.25">
      <c r="A302" s="10" t="s">
        <v>267</v>
      </c>
      <c r="B302" s="44">
        <f>B241/B78</f>
        <v>2.4942984902768175</v>
      </c>
      <c r="C302" s="6">
        <v>1</v>
      </c>
      <c r="E302" s="65"/>
      <c r="F302" s="29"/>
      <c r="G302" s="64">
        <f t="shared" si="7"/>
        <v>2.4942984902768175</v>
      </c>
    </row>
    <row r="303" spans="1:7" x14ac:dyDescent="0.25">
      <c r="A303" s="25" t="s">
        <v>150</v>
      </c>
      <c r="B303" s="45">
        <f>SUM(G301:G302)/SUM(C301:C302)</f>
        <v>1.9048521146888173</v>
      </c>
      <c r="C303">
        <f>AVERAGE(C301:C302)</f>
        <v>1</v>
      </c>
      <c r="E303" s="65"/>
      <c r="F303" s="29"/>
      <c r="G303" s="64"/>
    </row>
    <row r="304" spans="1:7" x14ac:dyDescent="0.25">
      <c r="A304" s="5"/>
      <c r="B304" s="44"/>
      <c r="E304" s="65"/>
      <c r="F304" s="29"/>
      <c r="G304" s="64"/>
    </row>
    <row r="305" spans="1:7" x14ac:dyDescent="0.25">
      <c r="A305" s="5"/>
      <c r="B305" s="44"/>
      <c r="E305" s="65"/>
      <c r="F305" s="29"/>
      <c r="G305" s="64"/>
    </row>
    <row r="306" spans="1:7" x14ac:dyDescent="0.25">
      <c r="A306" s="23" t="s">
        <v>151</v>
      </c>
      <c r="B306" s="44"/>
      <c r="E306" s="65"/>
      <c r="F306" s="29"/>
      <c r="G306" s="64"/>
    </row>
    <row r="307" spans="1:7" x14ac:dyDescent="0.25">
      <c r="A307" s="10" t="s">
        <v>137</v>
      </c>
      <c r="B307" s="44">
        <f>B263/B88</f>
        <v>1.3396506647823569</v>
      </c>
      <c r="C307" s="6">
        <v>1</v>
      </c>
      <c r="E307" s="65"/>
      <c r="F307" s="29"/>
      <c r="G307" s="64">
        <f t="shared" si="7"/>
        <v>1.3396506647823569</v>
      </c>
    </row>
    <row r="308" spans="1:7" x14ac:dyDescent="0.25">
      <c r="A308" s="10" t="s">
        <v>211</v>
      </c>
      <c r="B308" s="44">
        <f>B264/B89</f>
        <v>0.86912581700660529</v>
      </c>
      <c r="C308" s="6">
        <v>1</v>
      </c>
      <c r="E308" s="65"/>
      <c r="F308" s="29"/>
      <c r="G308" s="64">
        <f t="shared" si="7"/>
        <v>0.86912581700660529</v>
      </c>
    </row>
    <row r="309" spans="1:7" x14ac:dyDescent="0.25">
      <c r="A309" s="10" t="s">
        <v>138</v>
      </c>
      <c r="B309" s="44">
        <f>E265/B90</f>
        <v>0.75446603982773774</v>
      </c>
      <c r="C309" s="6">
        <v>1</v>
      </c>
      <c r="E309" s="65"/>
      <c r="F309" s="29"/>
      <c r="G309" s="64">
        <f t="shared" si="7"/>
        <v>0.75446603982773774</v>
      </c>
    </row>
    <row r="310" spans="1:7" x14ac:dyDescent="0.25">
      <c r="A310" s="25" t="s">
        <v>152</v>
      </c>
      <c r="B310" s="45">
        <f>SUM(G307:G309)/SUM(C307:C309)</f>
        <v>0.9877475072055667</v>
      </c>
      <c r="C310">
        <f>AVERAGE(C307:C309)</f>
        <v>1</v>
      </c>
      <c r="E310" s="65"/>
      <c r="F310" s="29"/>
      <c r="G310" s="64"/>
    </row>
    <row r="311" spans="1:7" x14ac:dyDescent="0.25">
      <c r="A311" s="5"/>
      <c r="E311" s="65"/>
      <c r="F311" s="29"/>
      <c r="G311" s="64"/>
    </row>
    <row r="312" spans="1:7" x14ac:dyDescent="0.25">
      <c r="A312" s="5"/>
      <c r="E312" s="65"/>
      <c r="F312" s="29"/>
      <c r="G312" s="64"/>
    </row>
    <row r="313" spans="1:7" x14ac:dyDescent="0.25">
      <c r="E313" s="65"/>
      <c r="F313" s="29"/>
      <c r="G313" s="64"/>
    </row>
    <row r="314" spans="1:7" x14ac:dyDescent="0.25">
      <c r="A314" s="48" t="s">
        <v>153</v>
      </c>
      <c r="B314" s="48"/>
      <c r="C314" s="49" t="s">
        <v>161</v>
      </c>
      <c r="D314" s="1"/>
      <c r="E314" s="19"/>
      <c r="F314" s="1"/>
      <c r="G314" s="64"/>
    </row>
    <row r="315" spans="1:7" x14ac:dyDescent="0.25">
      <c r="A315" s="48" t="s">
        <v>154</v>
      </c>
      <c r="B315" s="50">
        <f>B278</f>
        <v>0.99892207398115362</v>
      </c>
      <c r="C315" s="48">
        <f>C278</f>
        <v>1</v>
      </c>
      <c r="D315" s="1"/>
      <c r="E315" s="65"/>
      <c r="F315" s="29"/>
      <c r="G315" s="64">
        <f t="shared" si="7"/>
        <v>0.99892207398115362</v>
      </c>
    </row>
    <row r="316" spans="1:7" x14ac:dyDescent="0.25">
      <c r="A316" s="48" t="s">
        <v>155</v>
      </c>
      <c r="B316" s="50">
        <f>B284</f>
        <v>4.9484201276225148</v>
      </c>
      <c r="C316" s="48">
        <f>C284</f>
        <v>1</v>
      </c>
      <c r="D316" s="1"/>
      <c r="E316" s="65"/>
      <c r="F316" s="29"/>
      <c r="G316" s="64">
        <f t="shared" si="7"/>
        <v>4.9484201276225148</v>
      </c>
    </row>
    <row r="317" spans="1:7" x14ac:dyDescent="0.25">
      <c r="A317" s="48" t="s">
        <v>156</v>
      </c>
      <c r="B317" s="50">
        <f>B291</f>
        <v>1.7999009838888445</v>
      </c>
      <c r="C317" s="48">
        <f>C291</f>
        <v>1</v>
      </c>
      <c r="D317" s="1"/>
      <c r="E317" s="65"/>
      <c r="F317" s="29"/>
      <c r="G317" s="64">
        <f t="shared" si="7"/>
        <v>1.7999009838888445</v>
      </c>
    </row>
    <row r="318" spans="1:7" x14ac:dyDescent="0.25">
      <c r="A318" s="48" t="s">
        <v>157</v>
      </c>
      <c r="B318" s="50">
        <f>B297</f>
        <v>1.2833565155194626</v>
      </c>
      <c r="C318" s="48">
        <f>C297</f>
        <v>1</v>
      </c>
      <c r="D318" s="1"/>
      <c r="E318" s="65"/>
      <c r="F318" s="29"/>
      <c r="G318" s="64">
        <f t="shared" si="7"/>
        <v>1.2833565155194626</v>
      </c>
    </row>
    <row r="319" spans="1:7" x14ac:dyDescent="0.25">
      <c r="A319" s="48" t="s">
        <v>158</v>
      </c>
      <c r="B319" s="50">
        <f>B303</f>
        <v>1.9048521146888173</v>
      </c>
      <c r="C319" s="48">
        <f>C303</f>
        <v>1</v>
      </c>
      <c r="D319" s="1"/>
      <c r="E319" s="65"/>
      <c r="F319" s="29"/>
      <c r="G319" s="64">
        <f t="shared" si="7"/>
        <v>1.9048521146888173</v>
      </c>
    </row>
    <row r="320" spans="1:7" x14ac:dyDescent="0.25">
      <c r="A320" s="48" t="s">
        <v>159</v>
      </c>
      <c r="B320" s="50">
        <f>B310</f>
        <v>0.9877475072055667</v>
      </c>
      <c r="C320" s="48">
        <f>C310</f>
        <v>1</v>
      </c>
      <c r="D320" s="1"/>
      <c r="E320" s="65"/>
      <c r="F320" s="29"/>
      <c r="G320" s="64">
        <f t="shared" si="7"/>
        <v>0.9877475072055667</v>
      </c>
    </row>
    <row r="321" spans="1:7" x14ac:dyDescent="0.25">
      <c r="A321" s="48"/>
      <c r="B321" s="48"/>
      <c r="C321" s="48"/>
      <c r="D321" s="1"/>
      <c r="E321" s="65"/>
      <c r="F321" s="29"/>
    </row>
    <row r="322" spans="1:7" x14ac:dyDescent="0.25">
      <c r="A322" s="48" t="s">
        <v>160</v>
      </c>
      <c r="B322" s="50">
        <f>((SUM(G315:G320)/SUM(C315:C320)))/C322</f>
        <v>1.9871998871510599</v>
      </c>
      <c r="C322">
        <f>AVERAGE(C314:C320)</f>
        <v>1</v>
      </c>
      <c r="D322" s="1"/>
      <c r="E322" s="65"/>
      <c r="F322" s="65"/>
      <c r="G322" s="65">
        <f>SUM(G315:G320)</f>
        <v>11.92319932290636</v>
      </c>
    </row>
    <row r="323" spans="1:7" x14ac:dyDescent="0.25">
      <c r="A323" s="1"/>
      <c r="B323" s="1"/>
      <c r="C323" s="1"/>
      <c r="D323" s="1"/>
      <c r="E323" s="29"/>
      <c r="F323" s="29"/>
    </row>
    <row r="324" spans="1:7" x14ac:dyDescent="0.25">
      <c r="A324" s="1"/>
      <c r="B324" s="1"/>
      <c r="C324" s="1"/>
      <c r="D324" s="1"/>
      <c r="E324" s="29"/>
      <c r="F324" s="29"/>
    </row>
    <row r="325" spans="1:7" x14ac:dyDescent="0.25">
      <c r="A325" s="1"/>
      <c r="B325" s="1"/>
      <c r="C325" s="1"/>
      <c r="D325" s="1"/>
      <c r="E325" s="29"/>
      <c r="F325" s="29"/>
    </row>
    <row r="326" spans="1:7" x14ac:dyDescent="0.25">
      <c r="A326" s="1"/>
      <c r="B326" s="1"/>
      <c r="C326" s="1"/>
      <c r="D326" s="1"/>
      <c r="E326" s="29"/>
      <c r="F326" s="29"/>
    </row>
    <row r="327" spans="1:7" x14ac:dyDescent="0.25">
      <c r="E327" s="29"/>
      <c r="F327" s="29"/>
    </row>
    <row r="328" spans="1:7" x14ac:dyDescent="0.25">
      <c r="E328" s="29"/>
      <c r="F328" s="29"/>
    </row>
    <row r="329" spans="1:7" x14ac:dyDescent="0.25">
      <c r="A329" s="1"/>
      <c r="E329" s="29"/>
      <c r="F329" s="29"/>
    </row>
    <row r="330" spans="1:7" x14ac:dyDescent="0.25">
      <c r="A330" s="1"/>
      <c r="E330" s="29"/>
      <c r="F330" s="29"/>
    </row>
    <row r="331" spans="1:7" x14ac:dyDescent="0.25">
      <c r="A331" s="1"/>
      <c r="E331" s="29"/>
      <c r="F331" s="29"/>
    </row>
    <row r="332" spans="1:7" x14ac:dyDescent="0.25">
      <c r="E332" s="29"/>
      <c r="F332" s="29"/>
    </row>
    <row r="333" spans="1:7" x14ac:dyDescent="0.25">
      <c r="E333" s="29"/>
      <c r="F333" s="29"/>
    </row>
    <row r="334" spans="1:7" x14ac:dyDescent="0.25">
      <c r="E334" s="29"/>
      <c r="F334" s="29"/>
    </row>
    <row r="335" spans="1:7" x14ac:dyDescent="0.25">
      <c r="E335" s="29"/>
      <c r="F335" s="29"/>
    </row>
    <row r="336" spans="1:7" x14ac:dyDescent="0.25">
      <c r="E336" s="29"/>
      <c r="F336" s="29"/>
    </row>
    <row r="337" spans="5:6" x14ac:dyDescent="0.25">
      <c r="E337" s="29"/>
      <c r="F337" s="29"/>
    </row>
    <row r="338" spans="5:6" x14ac:dyDescent="0.25">
      <c r="E338" s="29"/>
      <c r="F338" s="29"/>
    </row>
    <row r="339" spans="5:6" x14ac:dyDescent="0.25">
      <c r="E339" s="29"/>
      <c r="F339" s="29"/>
    </row>
    <row r="340" spans="5:6" x14ac:dyDescent="0.25">
      <c r="E340" s="29"/>
      <c r="F340" s="29"/>
    </row>
  </sheetData>
  <sheetProtection selectLockedCell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workbookViewId="0">
      <selection activeCell="A111" sqref="A111"/>
    </sheetView>
  </sheetViews>
  <sheetFormatPr defaultRowHeight="13.2" x14ac:dyDescent="0.25"/>
  <cols>
    <col min="1" max="1" width="128.44140625" customWidth="1"/>
    <col min="2" max="2" width="17" customWidth="1"/>
    <col min="3" max="3" width="20.5546875" customWidth="1"/>
    <col min="4" max="4" width="15" hidden="1" customWidth="1"/>
    <col min="5" max="5" width="23.88671875" customWidth="1"/>
  </cols>
  <sheetData>
    <row r="1" spans="1:14" x14ac:dyDescent="0.25">
      <c r="A1" s="55" t="s">
        <v>303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5">
      <c r="A2" s="55" t="s">
        <v>304</v>
      </c>
      <c r="B2" s="55"/>
      <c r="C2" s="55"/>
      <c r="D2" s="56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55"/>
      <c r="B3" s="55"/>
      <c r="C3" s="55"/>
      <c r="D3" s="56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57" t="s">
        <v>305</v>
      </c>
      <c r="B4" s="55"/>
      <c r="C4" s="55"/>
      <c r="D4" s="56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5">
      <c r="A5" s="58" t="s">
        <v>341</v>
      </c>
      <c r="B5" s="55"/>
      <c r="C5" s="55"/>
      <c r="D5" s="56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25">
      <c r="A6" s="55"/>
      <c r="B6" s="55"/>
      <c r="C6" s="55"/>
      <c r="D6" s="56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x14ac:dyDescent="0.25">
      <c r="A7" s="38" t="s">
        <v>306</v>
      </c>
      <c r="B7" s="55"/>
      <c r="C7" s="55"/>
      <c r="D7" s="56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5">
      <c r="A8" s="47" t="s">
        <v>307</v>
      </c>
      <c r="B8" s="55"/>
      <c r="C8" s="55"/>
      <c r="D8" s="56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47" t="s">
        <v>308</v>
      </c>
      <c r="B9" s="55"/>
      <c r="C9" s="55"/>
      <c r="D9" s="56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5">
      <c r="A10" s="47" t="s">
        <v>309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x14ac:dyDescent="0.25">
      <c r="A11" s="47" t="s">
        <v>310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x14ac:dyDescent="0.25">
      <c r="A12" s="47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x14ac:dyDescent="0.25">
      <c r="A13" s="47" t="s">
        <v>312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x14ac:dyDescent="0.25">
      <c r="A14" s="47" t="s">
        <v>313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x14ac:dyDescent="0.25">
      <c r="A15" s="47" t="s">
        <v>314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x14ac:dyDescent="0.25">
      <c r="A16" s="47" t="s">
        <v>315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s="60" customFormat="1" x14ac:dyDescent="0.25">
      <c r="A18" s="61" t="s">
        <v>316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s="60" customFormat="1" x14ac:dyDescent="0.25">
      <c r="A19" s="61" t="s">
        <v>317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25">
      <c r="A21" s="38" t="s">
        <v>319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x14ac:dyDescent="0.25">
      <c r="A23" s="8" t="s">
        <v>321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x14ac:dyDescent="0.25">
      <c r="A24" s="8" t="s">
        <v>322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x14ac:dyDescent="0.25">
      <c r="A25" s="8" t="s">
        <v>323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x14ac:dyDescent="0.25">
      <c r="A26" s="8" t="s">
        <v>342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x14ac:dyDescent="0.25">
      <c r="A27" s="8" t="s">
        <v>343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x14ac:dyDescent="0.25">
      <c r="A28" s="8" t="s">
        <v>324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25">
      <c r="A29" s="8" t="s">
        <v>320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x14ac:dyDescent="0.25">
      <c r="A32" s="62" t="s">
        <v>325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4" spans="1:1" x14ac:dyDescent="0.25">
      <c r="A34" s="1" t="s">
        <v>326</v>
      </c>
    </row>
    <row r="36" spans="1:1" x14ac:dyDescent="0.25">
      <c r="A36" s="46" t="s">
        <v>327</v>
      </c>
    </row>
    <row r="38" spans="1:1" x14ac:dyDescent="0.25">
      <c r="A38" s="46" t="s">
        <v>140</v>
      </c>
    </row>
    <row r="39" spans="1:1" x14ac:dyDescent="0.25">
      <c r="A39" t="s">
        <v>328</v>
      </c>
    </row>
    <row r="41" spans="1:1" x14ac:dyDescent="0.25">
      <c r="A41" t="s">
        <v>330</v>
      </c>
    </row>
    <row r="42" spans="1:1" x14ac:dyDescent="0.25">
      <c r="A42" s="14" t="s">
        <v>331</v>
      </c>
    </row>
    <row r="43" spans="1:1" x14ac:dyDescent="0.25">
      <c r="A43" s="14" t="s">
        <v>332</v>
      </c>
    </row>
    <row r="44" spans="1:1" x14ac:dyDescent="0.25">
      <c r="A44" s="14" t="s">
        <v>333</v>
      </c>
    </row>
    <row r="45" spans="1:1" x14ac:dyDescent="0.25">
      <c r="A45" s="14" t="s">
        <v>334</v>
      </c>
    </row>
    <row r="46" spans="1:1" x14ac:dyDescent="0.25">
      <c r="A46" s="14" t="s">
        <v>335</v>
      </c>
    </row>
    <row r="47" spans="1:1" x14ac:dyDescent="0.25">
      <c r="A47" s="14" t="s">
        <v>336</v>
      </c>
    </row>
    <row r="49" spans="1:1" x14ac:dyDescent="0.25">
      <c r="A49" t="s">
        <v>337</v>
      </c>
    </row>
    <row r="50" spans="1:1" x14ac:dyDescent="0.25">
      <c r="A50" t="s">
        <v>338</v>
      </c>
    </row>
    <row r="52" spans="1:1" x14ac:dyDescent="0.25">
      <c r="A52" t="s">
        <v>344</v>
      </c>
    </row>
    <row r="53" spans="1:1" x14ac:dyDescent="0.25">
      <c r="A53" t="s">
        <v>339</v>
      </c>
    </row>
    <row r="54" spans="1:1" x14ac:dyDescent="0.25">
      <c r="A54" t="s">
        <v>340</v>
      </c>
    </row>
    <row r="56" spans="1:1" x14ac:dyDescent="0.25">
      <c r="A56" s="46" t="s">
        <v>143</v>
      </c>
    </row>
    <row r="57" spans="1:1" x14ac:dyDescent="0.25">
      <c r="A57" t="s">
        <v>345</v>
      </c>
    </row>
    <row r="58" spans="1:1" x14ac:dyDescent="0.25">
      <c r="A58" t="s">
        <v>346</v>
      </c>
    </row>
    <row r="59" spans="1:1" x14ac:dyDescent="0.25">
      <c r="A59" s="66" t="s">
        <v>347</v>
      </c>
    </row>
    <row r="60" spans="1:1" x14ac:dyDescent="0.25">
      <c r="A60" s="66" t="s">
        <v>348</v>
      </c>
    </row>
    <row r="61" spans="1:1" x14ac:dyDescent="0.25">
      <c r="A61" s="66" t="s">
        <v>349</v>
      </c>
    </row>
    <row r="62" spans="1:1" x14ac:dyDescent="0.25">
      <c r="A62" s="66" t="s">
        <v>350</v>
      </c>
    </row>
    <row r="63" spans="1:1" x14ac:dyDescent="0.25">
      <c r="A63" s="66" t="s">
        <v>351</v>
      </c>
    </row>
    <row r="65" spans="1:1" x14ac:dyDescent="0.25">
      <c r="A65" t="s">
        <v>369</v>
      </c>
    </row>
    <row r="67" spans="1:1" x14ac:dyDescent="0.25">
      <c r="A67" s="46" t="s">
        <v>147</v>
      </c>
    </row>
    <row r="68" spans="1:1" x14ac:dyDescent="0.25">
      <c r="A68" t="s">
        <v>355</v>
      </c>
    </row>
    <row r="69" spans="1:1" x14ac:dyDescent="0.25">
      <c r="A69" s="66" t="s">
        <v>356</v>
      </c>
    </row>
    <row r="70" spans="1:1" x14ac:dyDescent="0.25">
      <c r="A70" s="66" t="s">
        <v>357</v>
      </c>
    </row>
    <row r="71" spans="1:1" x14ac:dyDescent="0.25">
      <c r="A71" s="66" t="s">
        <v>358</v>
      </c>
    </row>
    <row r="72" spans="1:1" x14ac:dyDescent="0.25">
      <c r="A72" s="66" t="s">
        <v>359</v>
      </c>
    </row>
    <row r="73" spans="1:1" x14ac:dyDescent="0.25">
      <c r="A73" t="s">
        <v>360</v>
      </c>
    </row>
    <row r="74" spans="1:1" x14ac:dyDescent="0.25">
      <c r="A74" t="s">
        <v>362</v>
      </c>
    </row>
    <row r="75" spans="1:1" x14ac:dyDescent="0.25">
      <c r="A75" t="s">
        <v>361</v>
      </c>
    </row>
    <row r="77" spans="1:1" x14ac:dyDescent="0.25">
      <c r="A77" t="s">
        <v>368</v>
      </c>
    </row>
    <row r="79" spans="1:1" x14ac:dyDescent="0.25">
      <c r="A79" s="46" t="s">
        <v>149</v>
      </c>
    </row>
    <row r="80" spans="1:1" x14ac:dyDescent="0.25">
      <c r="A80" t="s">
        <v>363</v>
      </c>
    </row>
    <row r="81" spans="1:1" x14ac:dyDescent="0.25">
      <c r="A81" s="66" t="s">
        <v>364</v>
      </c>
    </row>
    <row r="82" spans="1:1" x14ac:dyDescent="0.25">
      <c r="A82" s="66" t="s">
        <v>365</v>
      </c>
    </row>
    <row r="83" spans="1:1" x14ac:dyDescent="0.25">
      <c r="A83" s="66" t="s">
        <v>366</v>
      </c>
    </row>
    <row r="85" spans="1:1" x14ac:dyDescent="0.25">
      <c r="A85" s="46" t="s">
        <v>151</v>
      </c>
    </row>
    <row r="86" spans="1:1" x14ac:dyDescent="0.25">
      <c r="A86" t="s">
        <v>367</v>
      </c>
    </row>
    <row r="87" spans="1:1" x14ac:dyDescent="0.25">
      <c r="A87" s="66" t="s">
        <v>370</v>
      </c>
    </row>
    <row r="88" spans="1:1" x14ac:dyDescent="0.25">
      <c r="A88" s="66" t="s">
        <v>371</v>
      </c>
    </row>
    <row r="91" spans="1:1" x14ac:dyDescent="0.25">
      <c r="A91" s="46" t="s">
        <v>372</v>
      </c>
    </row>
    <row r="93" spans="1:1" x14ac:dyDescent="0.25">
      <c r="A93" t="s">
        <v>373</v>
      </c>
    </row>
    <row r="95" spans="1:1" s="63" customFormat="1" x14ac:dyDescent="0.25">
      <c r="A95" s="63" t="s">
        <v>374</v>
      </c>
    </row>
    <row r="97" spans="1:1" x14ac:dyDescent="0.25">
      <c r="A97" t="s">
        <v>375</v>
      </c>
    </row>
    <row r="98" spans="1:1" x14ac:dyDescent="0.25">
      <c r="A98" s="14" t="s">
        <v>376</v>
      </c>
    </row>
    <row r="99" spans="1:1" x14ac:dyDescent="0.25">
      <c r="A99" t="s">
        <v>377</v>
      </c>
    </row>
    <row r="100" spans="1:1" x14ac:dyDescent="0.25">
      <c r="A100" t="s">
        <v>378</v>
      </c>
    </row>
    <row r="101" spans="1:1" x14ac:dyDescent="0.25">
      <c r="A101" t="s">
        <v>383</v>
      </c>
    </row>
    <row r="102" spans="1:1" x14ac:dyDescent="0.25">
      <c r="A102" t="s">
        <v>379</v>
      </c>
    </row>
    <row r="103" spans="1:1" x14ac:dyDescent="0.25">
      <c r="A103" t="s">
        <v>380</v>
      </c>
    </row>
    <row r="105" spans="1:1" x14ac:dyDescent="0.25">
      <c r="A105" t="s">
        <v>381</v>
      </c>
    </row>
    <row r="107" spans="1:1" x14ac:dyDescent="0.25">
      <c r="A107" t="s">
        <v>384</v>
      </c>
    </row>
    <row r="110" spans="1:1" x14ac:dyDescent="0.25">
      <c r="A110" t="s">
        <v>382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volglas polyester</vt:lpstr>
      <vt:lpstr>help</vt:lpstr>
    </vt:vector>
  </TitlesOfParts>
  <Company>capolavoro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pietje puk</dc:creator>
  <cp:lastModifiedBy>Thomas</cp:lastModifiedBy>
  <dcterms:created xsi:type="dcterms:W3CDTF">2011-01-11T09:55:30Z</dcterms:created>
  <dcterms:modified xsi:type="dcterms:W3CDTF">2017-07-03T10:45:29Z</dcterms:modified>
</cp:coreProperties>
</file>